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590"/>
  </bookViews>
  <sheets>
    <sheet name="表1 总概算表" sheetId="1" r:id="rId1"/>
    <sheet name="表2 单项工程概算汇总表" sheetId="2" r:id="rId2"/>
    <sheet name="表3 工程建设其他费用计算表" sheetId="3" r:id="rId3"/>
  </sheets>
  <definedNames>
    <definedName name="_xlnm.Print_Area" localSheetId="0">'表1 总概算表'!$A$1:$K$24</definedName>
    <definedName name="_xlnm.Print_Area" localSheetId="1">'表2 单项工程概算汇总表'!$A$1:$J$18</definedName>
    <definedName name="_xlnm.Print_Area" localSheetId="2">'表3 工程建设其他费用计算表'!$A$1:$E$35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<sst xmlns="http://schemas.openxmlformats.org/spreadsheetml/2006/main" count="182" uniqueCount="122">
  <si>
    <t>2025年城中区老旧小区配套基础设施改造工程（一期）总投资概算表</t>
  </si>
  <si>
    <t>工程名称：2025年城中区老旧小区配套基础设施改造工程(一期)</t>
  </si>
  <si>
    <t>序号</t>
  </si>
  <si>
    <t>工程或费用名称</t>
  </si>
  <si>
    <t>概算造价（万元）</t>
  </si>
  <si>
    <t>技术经济指标</t>
  </si>
  <si>
    <t>占总投资百分比%</t>
  </si>
  <si>
    <t>建筑      工程费</t>
  </si>
  <si>
    <t>设备       购置费</t>
  </si>
  <si>
    <t>安装       工程费</t>
  </si>
  <si>
    <t>其他       费用</t>
  </si>
  <si>
    <t>合计</t>
  </si>
  <si>
    <t>单位</t>
  </si>
  <si>
    <t>数量</t>
  </si>
  <si>
    <t>指标        (元/㎡)</t>
  </si>
  <si>
    <t>一</t>
  </si>
  <si>
    <t>工程费用</t>
  </si>
  <si>
    <t>㎡</t>
  </si>
  <si>
    <t>二</t>
  </si>
  <si>
    <t>工程建设其他费用</t>
  </si>
  <si>
    <t>建设管理费</t>
  </si>
  <si>
    <t>征地费用</t>
  </si>
  <si>
    <t>建设项目前期工作咨询费</t>
  </si>
  <si>
    <t>勘察设计费</t>
  </si>
  <si>
    <t>环境影响咨询费</t>
  </si>
  <si>
    <t>场地准备及临时设施费</t>
  </si>
  <si>
    <t>工程保险费</t>
  </si>
  <si>
    <t>城市基础设施配套费</t>
  </si>
  <si>
    <t>其他费用</t>
  </si>
  <si>
    <t>三</t>
  </si>
  <si>
    <t>预备费用</t>
  </si>
  <si>
    <r>
      <rPr>
        <sz val="12"/>
        <rFont val="宋体"/>
        <charset val="134"/>
      </rPr>
      <t>基本预备费(一+二)*</t>
    </r>
    <r>
      <rPr>
        <sz val="12"/>
        <rFont val="宋体"/>
        <charset val="134"/>
      </rPr>
      <t>6</t>
    </r>
    <r>
      <rPr>
        <sz val="12"/>
        <rFont val="宋体"/>
        <charset val="134"/>
      </rPr>
      <t>%</t>
    </r>
  </si>
  <si>
    <t>涨价预备费</t>
  </si>
  <si>
    <t>四</t>
  </si>
  <si>
    <t>建设投资</t>
  </si>
  <si>
    <t>不考虑</t>
  </si>
  <si>
    <t>五</t>
  </si>
  <si>
    <t>建设期贷款利息</t>
  </si>
  <si>
    <t>六</t>
  </si>
  <si>
    <t>流动资金</t>
  </si>
  <si>
    <t>七</t>
  </si>
  <si>
    <t>项目总投资（一+二+三+四+五+六）</t>
  </si>
  <si>
    <t>表2 工程费用概算汇总表</t>
  </si>
  <si>
    <t>备注</t>
  </si>
  <si>
    <t>建筑工程费</t>
  </si>
  <si>
    <t>设备购置费</t>
  </si>
  <si>
    <t>安装工程费</t>
  </si>
  <si>
    <t>指标(元/户)</t>
  </si>
  <si>
    <t>户</t>
  </si>
  <si>
    <t>东台路42号</t>
  </si>
  <si>
    <t>东台路西一巷5号</t>
  </si>
  <si>
    <t>建佳商厦</t>
  </si>
  <si>
    <t>曙光东路224号</t>
  </si>
  <si>
    <t>银龙大夏</t>
  </si>
  <si>
    <t>高雅小苑</t>
  </si>
  <si>
    <t>景行路27号</t>
  </si>
  <si>
    <t>峻岭厂三区</t>
  </si>
  <si>
    <t>连塘路北二巷21号</t>
  </si>
  <si>
    <t>斜阳路20号</t>
  </si>
  <si>
    <t>斜阳路24号</t>
  </si>
  <si>
    <t>斜阳路细柳巷12号</t>
  </si>
  <si>
    <t>表3 工程建设其他费用计算表</t>
  </si>
  <si>
    <t>费用名称</t>
  </si>
  <si>
    <t>计算公式或依据</t>
  </si>
  <si>
    <t>金额       （万元）</t>
  </si>
  <si>
    <t>项目建设管理费</t>
  </si>
  <si>
    <t>工程费用*2%</t>
  </si>
  <si>
    <t>财建[2016]504号</t>
  </si>
  <si>
    <t>施工图设计文件审查费</t>
  </si>
  <si>
    <t>工程费用*2‰</t>
  </si>
  <si>
    <t>桂建发[2019]1号</t>
  </si>
  <si>
    <t>招标代理服务费</t>
  </si>
  <si>
    <t>1.3.1+1.3.2+1.3.3</t>
  </si>
  <si>
    <t>桂建标[2018]37号</t>
  </si>
  <si>
    <t>1.3.1</t>
  </si>
  <si>
    <t>货物招标代理服务费</t>
  </si>
  <si>
    <t>1.3.2</t>
  </si>
  <si>
    <t>服务招标代理服务费</t>
  </si>
  <si>
    <t>1.3.3</t>
  </si>
  <si>
    <t>工程招标代理服务费</t>
  </si>
  <si>
    <t>中标单位支付</t>
  </si>
  <si>
    <t>工程造价咨询费</t>
  </si>
  <si>
    <t>1.4.1+1.4.2+1.4.3</t>
  </si>
  <si>
    <t>1.4.1</t>
  </si>
  <si>
    <t>招标控制价编制费</t>
  </si>
  <si>
    <r>
      <rPr>
        <sz val="11"/>
        <rFont val="宋体"/>
        <charset val="134"/>
      </rPr>
      <t>工程费用×3</t>
    </r>
    <r>
      <rPr>
        <sz val="11"/>
        <rFont val="宋体"/>
        <charset val="134"/>
      </rPr>
      <t>.9</t>
    </r>
    <r>
      <rPr>
        <sz val="11"/>
        <rFont val="宋体"/>
        <charset val="134"/>
      </rPr>
      <t>‰</t>
    </r>
  </si>
  <si>
    <t>1.4.2</t>
  </si>
  <si>
    <t>施工过程的造价控制咨询费</t>
  </si>
  <si>
    <r>
      <rPr>
        <sz val="11"/>
        <rFont val="宋体"/>
        <charset val="134"/>
      </rPr>
      <t>工程费用×</t>
    </r>
    <r>
      <rPr>
        <sz val="11"/>
        <rFont val="宋体"/>
        <charset val="134"/>
      </rPr>
      <t>5.2</t>
    </r>
    <r>
      <rPr>
        <sz val="11"/>
        <rFont val="宋体"/>
        <charset val="134"/>
      </rPr>
      <t>‰</t>
    </r>
  </si>
  <si>
    <t>1.4.3</t>
  </si>
  <si>
    <t>竣工结算审核费</t>
  </si>
  <si>
    <t>工程费用×3.9‰</t>
  </si>
  <si>
    <t>工程监理费</t>
  </si>
  <si>
    <t>工程费用*13.2/500</t>
  </si>
  <si>
    <t>3.1+3.2+3.3+3.4</t>
  </si>
  <si>
    <t>编制项目建议书</t>
  </si>
  <si>
    <t>编制可行性研究报告</t>
  </si>
  <si>
    <r>
      <rPr>
        <sz val="12"/>
        <rFont val="宋体"/>
        <charset val="134"/>
      </rPr>
      <t>3.2</t>
    </r>
    <r>
      <rPr>
        <sz val="12"/>
        <rFont val="宋体"/>
        <charset val="134"/>
      </rPr>
      <t>+(</t>
    </r>
    <r>
      <rPr>
        <sz val="12"/>
        <rFont val="宋体"/>
        <charset val="134"/>
      </rPr>
      <t>4.8</t>
    </r>
    <r>
      <rPr>
        <sz val="12"/>
        <rFont val="宋体"/>
        <charset val="134"/>
      </rPr>
      <t>-</t>
    </r>
    <r>
      <rPr>
        <sz val="12"/>
        <rFont val="宋体"/>
        <charset val="134"/>
      </rPr>
      <t>3.2</t>
    </r>
    <r>
      <rPr>
        <sz val="12"/>
        <rFont val="宋体"/>
        <charset val="134"/>
      </rPr>
      <t>)*(总投资-</t>
    </r>
    <r>
      <rPr>
        <sz val="12"/>
        <rFont val="宋体"/>
        <charset val="134"/>
      </rPr>
      <t>5</t>
    </r>
    <r>
      <rPr>
        <sz val="12"/>
        <rFont val="宋体"/>
        <charset val="134"/>
      </rPr>
      <t>00)/</t>
    </r>
    <r>
      <rPr>
        <sz val="12"/>
        <rFont val="宋体"/>
        <charset val="134"/>
      </rPr>
      <t>5</t>
    </r>
    <r>
      <rPr>
        <sz val="12"/>
        <rFont val="宋体"/>
        <charset val="134"/>
      </rPr>
      <t>00</t>
    </r>
  </si>
  <si>
    <t>评估可行性研究报告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</si>
  <si>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.2</t>
    </r>
    <r>
      <rPr>
        <sz val="12"/>
        <rFont val="宋体"/>
        <charset val="134"/>
      </rPr>
      <t>+(</t>
    </r>
    <r>
      <rPr>
        <sz val="12"/>
        <rFont val="宋体"/>
        <charset val="134"/>
      </rPr>
      <t>2</t>
    </r>
    <r>
      <rPr>
        <sz val="12"/>
        <rFont val="宋体"/>
        <charset val="134"/>
      </rPr>
      <t>-</t>
    </r>
    <r>
      <rPr>
        <sz val="12"/>
        <rFont val="宋体"/>
        <charset val="134"/>
      </rPr>
      <t>1.2</t>
    </r>
    <r>
      <rPr>
        <sz val="12"/>
        <rFont val="宋体"/>
        <charset val="134"/>
      </rPr>
      <t>)*(总投资-</t>
    </r>
    <r>
      <rPr>
        <sz val="12"/>
        <rFont val="宋体"/>
        <charset val="134"/>
      </rPr>
      <t>5</t>
    </r>
    <r>
      <rPr>
        <sz val="12"/>
        <rFont val="宋体"/>
        <charset val="134"/>
      </rPr>
      <t>00)/</t>
    </r>
    <r>
      <rPr>
        <sz val="12"/>
        <rFont val="宋体"/>
        <charset val="134"/>
      </rPr>
      <t>5</t>
    </r>
    <r>
      <rPr>
        <sz val="12"/>
        <rFont val="宋体"/>
        <charset val="134"/>
      </rPr>
      <t>00</t>
    </r>
  </si>
  <si>
    <t>初步设计文件评估咨询</t>
  </si>
  <si>
    <t>4.1+4.2</t>
  </si>
  <si>
    <t>工程测绘费</t>
  </si>
  <si>
    <t>单位价格*小区数</t>
  </si>
  <si>
    <t>《测绘生产成本费用定额（2009年版）》</t>
  </si>
  <si>
    <t>工程设计费</t>
  </si>
  <si>
    <t>（8.1+(18.81-8.1)*(工程费用-200)/300）*1.2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</si>
  <si>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</t>
    </r>
  </si>
  <si>
    <t>第一部分工程费用×1%</t>
  </si>
  <si>
    <t>第一部分工程费用的0.5%~2.0%</t>
  </si>
  <si>
    <r>
      <rPr>
        <b/>
        <sz val="12"/>
        <rFont val="宋体"/>
        <charset val="134"/>
      </rPr>
      <t>第一部分工程费用×0.</t>
    </r>
    <r>
      <rPr>
        <b/>
        <sz val="12"/>
        <rFont val="宋体"/>
        <charset val="134"/>
      </rPr>
      <t>3%</t>
    </r>
  </si>
  <si>
    <t>第一部分工程费用的0.3%~0.6%</t>
  </si>
  <si>
    <t>检验试验费</t>
  </si>
  <si>
    <t>建筑工程费*1%</t>
  </si>
  <si>
    <r>
      <rPr>
        <sz val="12"/>
        <rFont val="宋体"/>
        <charset val="134"/>
      </rPr>
      <t>桂政办[</t>
    </r>
    <r>
      <rPr>
        <sz val="12"/>
        <rFont val="宋体"/>
        <charset val="134"/>
      </rPr>
      <t>1986]64号、桂财综[2015]4号</t>
    </r>
  </si>
  <si>
    <t>10.1+10.2+10.3</t>
  </si>
  <si>
    <t>防空地下室易地建设费</t>
  </si>
  <si>
    <t>桂防规[2020]1号</t>
  </si>
  <si>
    <t>地质灾害危险性评估费</t>
  </si>
  <si>
    <t>国务院令394号、桂价费字[2007]572号</t>
  </si>
  <si>
    <t>水土保持补偿费</t>
  </si>
  <si>
    <t>桂财税[2016]37号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</si>
</sst>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  <numFmt numFmtId="179" formatCode="0_);[Red]\(0\)"/>
  </numFmts>
  <fonts count="33"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color indexed="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Arial"/>
      <charset val="134"/>
    </font>
    <font>
      <sz val="12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horizontal="left" vertical="top" wrapText="1"/>
    </xf>
    <xf numFmtId="0" fontId="2" fillId="0" borderId="0" applyAlignment="0"/>
    <xf numFmtId="0" fontId="2" fillId="0" borderId="0" applyAlignment="0"/>
    <xf numFmtId="0" fontId="32" fillId="0" borderId="0">
      <alignment horizontal="left" vertical="top" wrapText="1"/>
    </xf>
    <xf numFmtId="0" fontId="2" fillId="0" borderId="0" applyAlignment="0"/>
    <xf numFmtId="0" fontId="32" fillId="0" borderId="0">
      <alignment horizontal="left" vertical="top" wrapText="1"/>
    </xf>
    <xf numFmtId="0" fontId="32" fillId="0" borderId="0">
      <alignment horizontal="left" vertical="top" wrapText="1"/>
    </xf>
  </cellStyleXfs>
  <cellXfs count="9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76" fontId="0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76" fontId="1" fillId="0" borderId="0" xfId="0" applyNumberFormat="1" applyFo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176" fontId="2" fillId="0" borderId="0" xfId="0" applyNumberFormat="1" applyFont="1">
      <alignment vertical="center"/>
    </xf>
    <xf numFmtId="0" fontId="7" fillId="0" borderId="3" xfId="0" applyFont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8" fillId="0" borderId="3" xfId="0" applyFont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 shrinkToFit="1"/>
    </xf>
    <xf numFmtId="176" fontId="3" fillId="0" borderId="3" xfId="0" applyNumberFormat="1" applyFont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9" fontId="0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right" vertical="center"/>
    </xf>
    <xf numFmtId="179" fontId="0" fillId="0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ont="1" applyAlignment="1">
      <alignment horizontal="left" vertical="center"/>
    </xf>
    <xf numFmtId="178" fontId="0" fillId="0" borderId="0" xfId="0" applyNumberFormat="1" applyFont="1">
      <alignment vertical="center"/>
    </xf>
    <xf numFmtId="178" fontId="0" fillId="0" borderId="0" xfId="0" applyNumberFormat="1" applyFont="1" applyAlignment="1">
      <alignment horizontal="center" vertical="center"/>
    </xf>
    <xf numFmtId="10" fontId="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178" fontId="0" fillId="0" borderId="0" xfId="0" applyNumberFormat="1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178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/>
    </xf>
    <xf numFmtId="10" fontId="0" fillId="0" borderId="0" xfId="0" applyNumberFormat="1" applyFont="1" applyBorder="1" applyAlignment="1">
      <alignment horizontal="left" vertical="center"/>
    </xf>
    <xf numFmtId="10" fontId="6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10" fontId="0" fillId="0" borderId="3" xfId="0" applyNumberFormat="1" applyFont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0" fontId="0" fillId="0" borderId="0" xfId="0" applyNumberFormat="1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1" xfId="49"/>
    <cellStyle name="常规 2" xfId="50"/>
    <cellStyle name="常规 2 2" xfId="51"/>
    <cellStyle name="常规 2 3" xfId="52"/>
    <cellStyle name="常规 3" xfId="53"/>
    <cellStyle name="常规 3 2" xfId="54"/>
    <cellStyle name="常规 4" xfId="55"/>
  </cellStyles>
  <tableStyles count="0" defaultTableStyle="TableStyleMedium9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view="pageBreakPreview" zoomScale="90" zoomScaleNormal="100" topLeftCell="A2" workbookViewId="0">
      <selection activeCell="D9" sqref="D9"/>
    </sheetView>
  </sheetViews>
  <sheetFormatPr defaultColWidth="9" defaultRowHeight="15"/>
  <cols>
    <col min="1" max="1" width="7.25" style="8" customWidth="1"/>
    <col min="2" max="2" width="33.125" style="76" customWidth="1"/>
    <col min="3" max="5" width="11.875" style="77" customWidth="1"/>
    <col min="6" max="6" width="11.875" style="78" customWidth="1"/>
    <col min="7" max="7" width="14.25" style="78" customWidth="1"/>
    <col min="8" max="9" width="8.125" style="77" customWidth="1"/>
    <col min="10" max="10" width="12.625" style="77" customWidth="1"/>
    <col min="11" max="11" width="22.875" style="79" customWidth="1"/>
    <col min="12" max="12" width="9.5" style="9" customWidth="1"/>
    <col min="13" max="13" width="10" style="9" customWidth="1"/>
    <col min="14" max="14" width="9.5" style="9" customWidth="1"/>
    <col min="15" max="15" width="10.375" style="9" customWidth="1"/>
    <col min="16" max="16384" width="9" style="9"/>
  </cols>
  <sheetData>
    <row r="1" ht="32" customHeight="1" spans="1:11">
      <c r="A1" s="80" t="s">
        <v>0</v>
      </c>
      <c r="B1" s="12"/>
      <c r="C1" s="12"/>
      <c r="D1" s="12"/>
      <c r="E1" s="12"/>
      <c r="F1" s="12"/>
      <c r="G1" s="81"/>
      <c r="H1" s="12"/>
      <c r="I1" s="12"/>
      <c r="J1" s="12"/>
      <c r="K1" s="88"/>
    </row>
    <row r="2" ht="20.1" customHeight="1" spans="1:11">
      <c r="A2" s="82" t="s">
        <v>1</v>
      </c>
      <c r="B2" s="16"/>
      <c r="C2" s="16"/>
      <c r="D2" s="16"/>
      <c r="E2" s="16"/>
      <c r="F2" s="16"/>
      <c r="G2" s="83"/>
      <c r="H2" s="16"/>
      <c r="I2" s="16"/>
      <c r="J2" s="16"/>
      <c r="K2" s="89"/>
    </row>
    <row r="3" ht="18" customHeight="1" spans="1:11">
      <c r="A3" s="37" t="s">
        <v>2</v>
      </c>
      <c r="B3" s="37" t="s">
        <v>3</v>
      </c>
      <c r="C3" s="66" t="s">
        <v>4</v>
      </c>
      <c r="D3" s="66"/>
      <c r="E3" s="66"/>
      <c r="F3" s="66"/>
      <c r="G3" s="66"/>
      <c r="H3" s="63" t="s">
        <v>5</v>
      </c>
      <c r="I3" s="64"/>
      <c r="J3" s="64"/>
      <c r="K3" s="90" t="s">
        <v>6</v>
      </c>
    </row>
    <row r="4" ht="18" customHeight="1" spans="1:11">
      <c r="A4" s="37"/>
      <c r="B4" s="37"/>
      <c r="C4" s="84" t="s">
        <v>7</v>
      </c>
      <c r="D4" s="84" t="s">
        <v>8</v>
      </c>
      <c r="E4" s="84" t="s">
        <v>9</v>
      </c>
      <c r="F4" s="84" t="s">
        <v>10</v>
      </c>
      <c r="G4" s="66" t="s">
        <v>11</v>
      </c>
      <c r="H4" s="66" t="s">
        <v>12</v>
      </c>
      <c r="I4" s="66" t="s">
        <v>13</v>
      </c>
      <c r="J4" s="91" t="s">
        <v>14</v>
      </c>
      <c r="K4" s="92"/>
    </row>
    <row r="5" ht="27.75" customHeight="1" spans="1:11">
      <c r="A5" s="37"/>
      <c r="B5" s="37"/>
      <c r="C5" s="85"/>
      <c r="D5" s="85"/>
      <c r="E5" s="85"/>
      <c r="F5" s="85"/>
      <c r="G5" s="66"/>
      <c r="H5" s="66"/>
      <c r="I5" s="66"/>
      <c r="J5" s="91"/>
      <c r="K5" s="92"/>
    </row>
    <row r="6" s="75" customFormat="1" ht="25.15" customHeight="1" spans="1:11">
      <c r="A6" s="37" t="s">
        <v>15</v>
      </c>
      <c r="B6" s="37" t="s">
        <v>16</v>
      </c>
      <c r="C6" s="66">
        <f>'表2 单项工程概算汇总表'!C6</f>
        <v>419.37</v>
      </c>
      <c r="D6" s="66"/>
      <c r="E6" s="66">
        <f>'表2 单项工程概算汇总表'!E6</f>
        <v>75.84</v>
      </c>
      <c r="F6" s="66"/>
      <c r="G6" s="66">
        <f>SUM(C6:F6)</f>
        <v>495.21</v>
      </c>
      <c r="H6" s="66" t="s">
        <v>17</v>
      </c>
      <c r="I6" s="86"/>
      <c r="J6" s="86"/>
      <c r="K6" s="93">
        <f>G6/G24</f>
        <v>0.814869142731911</v>
      </c>
    </row>
    <row r="7" ht="24.95" customHeight="1" spans="1:11">
      <c r="A7" s="37" t="s">
        <v>18</v>
      </c>
      <c r="B7" s="37" t="s">
        <v>19</v>
      </c>
      <c r="C7" s="86"/>
      <c r="D7" s="86"/>
      <c r="E7" s="86"/>
      <c r="F7" s="66"/>
      <c r="G7" s="66">
        <f>'表3 工程建设其他费用计算表'!D35</f>
        <v>78.1081204</v>
      </c>
      <c r="H7" s="66" t="s">
        <v>17</v>
      </c>
      <c r="I7" s="86"/>
      <c r="J7" s="86"/>
      <c r="K7" s="93">
        <f>G7/G24</f>
        <v>0.128527083683183</v>
      </c>
    </row>
    <row r="8" ht="24.95" customHeight="1" spans="1:13">
      <c r="A8" s="26">
        <v>1</v>
      </c>
      <c r="B8" s="87" t="s">
        <v>20</v>
      </c>
      <c r="C8" s="86"/>
      <c r="D8" s="86"/>
      <c r="E8" s="86"/>
      <c r="F8" s="86">
        <f>'表3 工程建设其他费用计算表'!D5</f>
        <v>30.405894</v>
      </c>
      <c r="G8" s="86">
        <f>F8</f>
        <v>30.405894</v>
      </c>
      <c r="H8" s="86"/>
      <c r="I8" s="86"/>
      <c r="J8" s="86"/>
      <c r="K8" s="93"/>
      <c r="M8" s="94"/>
    </row>
    <row r="9" ht="21" customHeight="1" spans="1:11">
      <c r="A9" s="26">
        <v>2</v>
      </c>
      <c r="B9" s="87" t="s">
        <v>21</v>
      </c>
      <c r="C9" s="86"/>
      <c r="D9" s="86"/>
      <c r="E9" s="86"/>
      <c r="F9" s="86">
        <f>'表3 工程建设其他费用计算表'!D17</f>
        <v>0</v>
      </c>
      <c r="G9" s="86">
        <f t="shared" ref="G9:G17" si="0">F9</f>
        <v>0</v>
      </c>
      <c r="H9" s="86"/>
      <c r="I9" s="86"/>
      <c r="J9" s="86"/>
      <c r="K9" s="93"/>
    </row>
    <row r="10" ht="21" customHeight="1" spans="1:11">
      <c r="A10" s="26">
        <v>3</v>
      </c>
      <c r="B10" s="26" t="s">
        <v>22</v>
      </c>
      <c r="C10" s="86"/>
      <c r="D10" s="86"/>
      <c r="E10" s="86"/>
      <c r="F10" s="86">
        <f>'表3 工程建设其他费用计算表'!D18</f>
        <v>6.304</v>
      </c>
      <c r="G10" s="86">
        <f t="shared" si="0"/>
        <v>6.304</v>
      </c>
      <c r="H10" s="86"/>
      <c r="I10" s="86"/>
      <c r="J10" s="86"/>
      <c r="K10" s="93"/>
    </row>
    <row r="11" ht="21.95" customHeight="1" spans="1:11">
      <c r="A11" s="26">
        <v>4</v>
      </c>
      <c r="B11" s="87" t="s">
        <v>23</v>
      </c>
      <c r="C11" s="86"/>
      <c r="D11" s="86"/>
      <c r="E11" s="86"/>
      <c r="F11" s="86">
        <f>'表3 工程建设其他费用计算表'!D23</f>
        <v>30.7667964</v>
      </c>
      <c r="G11" s="86">
        <f t="shared" si="0"/>
        <v>30.7667964</v>
      </c>
      <c r="H11" s="86"/>
      <c r="I11" s="86"/>
      <c r="J11" s="86"/>
      <c r="K11" s="93"/>
    </row>
    <row r="12" ht="21.95" customHeight="1" spans="1:11">
      <c r="A12" s="26">
        <v>5</v>
      </c>
      <c r="B12" s="87" t="s">
        <v>24</v>
      </c>
      <c r="C12" s="86"/>
      <c r="D12" s="86"/>
      <c r="E12" s="86"/>
      <c r="F12" s="86">
        <f>'表3 工程建设其他费用计算表'!D26</f>
        <v>0</v>
      </c>
      <c r="G12" s="86">
        <f t="shared" si="0"/>
        <v>0</v>
      </c>
      <c r="H12" s="86"/>
      <c r="I12" s="86"/>
      <c r="J12" s="86"/>
      <c r="K12" s="93"/>
    </row>
    <row r="13" ht="24.95" customHeight="1" spans="1:14">
      <c r="A13" s="26">
        <v>6</v>
      </c>
      <c r="B13" s="87" t="s">
        <v>25</v>
      </c>
      <c r="C13" s="86"/>
      <c r="D13" s="86"/>
      <c r="E13" s="86"/>
      <c r="F13" s="86">
        <f>'表3 工程建设其他费用计算表'!D27</f>
        <v>4.9521</v>
      </c>
      <c r="G13" s="86">
        <f t="shared" si="0"/>
        <v>4.9521</v>
      </c>
      <c r="H13" s="86"/>
      <c r="I13" s="86"/>
      <c r="J13" s="86"/>
      <c r="K13" s="93"/>
      <c r="N13" s="94"/>
    </row>
    <row r="14" ht="32.1" customHeight="1" spans="1:14">
      <c r="A14" s="26">
        <v>7</v>
      </c>
      <c r="B14" s="26" t="s">
        <v>26</v>
      </c>
      <c r="C14" s="86"/>
      <c r="D14" s="86"/>
      <c r="E14" s="86"/>
      <c r="F14" s="86">
        <f>'表3 工程建设其他费用计算表'!D28</f>
        <v>1.48563</v>
      </c>
      <c r="G14" s="86">
        <f t="shared" si="0"/>
        <v>1.48563</v>
      </c>
      <c r="H14" s="86"/>
      <c r="I14" s="86"/>
      <c r="J14" s="86"/>
      <c r="K14" s="93"/>
      <c r="N14" s="94"/>
    </row>
    <row r="15" ht="24.95" customHeight="1" spans="1:14">
      <c r="A15" s="26">
        <v>8</v>
      </c>
      <c r="B15" s="26" t="str">
        <f>'表3 工程建设其他费用计算表'!B29</f>
        <v>检验试验费</v>
      </c>
      <c r="C15" s="86"/>
      <c r="D15" s="86"/>
      <c r="E15" s="86"/>
      <c r="F15" s="86">
        <f>'表3 工程建设其他费用计算表'!D29</f>
        <v>4.1937</v>
      </c>
      <c r="G15" s="86">
        <f t="shared" si="0"/>
        <v>4.1937</v>
      </c>
      <c r="H15" s="86"/>
      <c r="I15" s="86"/>
      <c r="J15" s="86"/>
      <c r="K15" s="93"/>
      <c r="N15" s="94"/>
    </row>
    <row r="16" ht="24.95" customHeight="1" spans="1:14">
      <c r="A16" s="26">
        <v>9</v>
      </c>
      <c r="B16" s="87" t="s">
        <v>27</v>
      </c>
      <c r="C16" s="86"/>
      <c r="D16" s="86"/>
      <c r="E16" s="86"/>
      <c r="F16" s="86">
        <f>'表3 工程建设其他费用计算表'!D30</f>
        <v>0</v>
      </c>
      <c r="G16" s="86">
        <f t="shared" si="0"/>
        <v>0</v>
      </c>
      <c r="H16" s="86"/>
      <c r="I16" s="86"/>
      <c r="J16" s="86"/>
      <c r="K16" s="93"/>
      <c r="N16" s="94"/>
    </row>
    <row r="17" ht="24.95" customHeight="1" spans="1:14">
      <c r="A17" s="26">
        <v>10</v>
      </c>
      <c r="B17" s="87" t="s">
        <v>28</v>
      </c>
      <c r="C17" s="86"/>
      <c r="D17" s="86"/>
      <c r="E17" s="86"/>
      <c r="F17" s="86">
        <f>'表3 工程建设其他费用计算表'!D31</f>
        <v>0</v>
      </c>
      <c r="G17" s="86">
        <f t="shared" si="0"/>
        <v>0</v>
      </c>
      <c r="H17" s="86"/>
      <c r="I17" s="86"/>
      <c r="J17" s="86"/>
      <c r="K17" s="93"/>
      <c r="N17" s="94"/>
    </row>
    <row r="18" s="75" customFormat="1" ht="24.95" customHeight="1" spans="1:13">
      <c r="A18" s="37" t="s">
        <v>29</v>
      </c>
      <c r="B18" s="37" t="s">
        <v>30</v>
      </c>
      <c r="C18" s="66"/>
      <c r="D18" s="66"/>
      <c r="E18" s="66"/>
      <c r="F18" s="66"/>
      <c r="G18" s="66">
        <f>G19</f>
        <v>34.399087224</v>
      </c>
      <c r="H18" s="66" t="s">
        <v>17</v>
      </c>
      <c r="I18" s="86"/>
      <c r="J18" s="86"/>
      <c r="K18" s="93">
        <f>G18/G24</f>
        <v>0.0566037735849057</v>
      </c>
      <c r="M18" s="95"/>
    </row>
    <row r="19" ht="24.95" customHeight="1" spans="1:13">
      <c r="A19" s="26">
        <v>1</v>
      </c>
      <c r="B19" s="26" t="s">
        <v>31</v>
      </c>
      <c r="C19" s="86"/>
      <c r="D19" s="86"/>
      <c r="E19" s="86"/>
      <c r="F19" s="86">
        <f>(G6+G7)*0.06</f>
        <v>34.399087224</v>
      </c>
      <c r="G19" s="86">
        <f>F19</f>
        <v>34.399087224</v>
      </c>
      <c r="H19" s="86"/>
      <c r="I19" s="86"/>
      <c r="J19" s="86"/>
      <c r="K19" s="93"/>
      <c r="M19" s="94"/>
    </row>
    <row r="20" customFormat="1" ht="24.95" customHeight="1" spans="1:13">
      <c r="A20" s="26">
        <v>2</v>
      </c>
      <c r="B20" s="26" t="s">
        <v>32</v>
      </c>
      <c r="C20" s="86"/>
      <c r="D20" s="86"/>
      <c r="E20" s="86"/>
      <c r="F20" s="86"/>
      <c r="G20" s="86">
        <v>0</v>
      </c>
      <c r="H20" s="86"/>
      <c r="I20" s="86"/>
      <c r="J20" s="86"/>
      <c r="K20" s="93"/>
      <c r="M20" s="94"/>
    </row>
    <row r="21" customFormat="1" ht="24.95" customHeight="1" spans="1:13">
      <c r="A21" s="37" t="s">
        <v>33</v>
      </c>
      <c r="B21" s="37" t="s">
        <v>34</v>
      </c>
      <c r="C21" s="66"/>
      <c r="D21" s="66"/>
      <c r="E21" s="66"/>
      <c r="F21" s="66"/>
      <c r="G21" s="66">
        <v>0</v>
      </c>
      <c r="H21" s="66"/>
      <c r="I21" s="86"/>
      <c r="J21" s="86"/>
      <c r="K21" s="93" t="s">
        <v>35</v>
      </c>
      <c r="M21" s="94"/>
    </row>
    <row r="22" s="75" customFormat="1" ht="24.95" customHeight="1" spans="1:13">
      <c r="A22" s="37" t="s">
        <v>36</v>
      </c>
      <c r="B22" s="37" t="s">
        <v>37</v>
      </c>
      <c r="C22" s="66"/>
      <c r="D22" s="66"/>
      <c r="E22" s="66"/>
      <c r="F22" s="66"/>
      <c r="G22" s="66">
        <v>0</v>
      </c>
      <c r="H22" s="66"/>
      <c r="I22" s="86"/>
      <c r="J22" s="86"/>
      <c r="K22" s="93" t="s">
        <v>35</v>
      </c>
      <c r="M22" s="95"/>
    </row>
    <row r="23" s="75" customFormat="1" ht="24.95" customHeight="1" spans="1:13">
      <c r="A23" s="37" t="s">
        <v>38</v>
      </c>
      <c r="B23" s="37" t="s">
        <v>39</v>
      </c>
      <c r="C23" s="66"/>
      <c r="D23" s="66"/>
      <c r="E23" s="66"/>
      <c r="F23" s="66"/>
      <c r="G23" s="66">
        <v>0</v>
      </c>
      <c r="H23" s="66"/>
      <c r="I23" s="86"/>
      <c r="J23" s="86"/>
      <c r="K23" s="93" t="s">
        <v>35</v>
      </c>
      <c r="M23" s="95"/>
    </row>
    <row r="24" s="75" customFormat="1" ht="33.75" customHeight="1" spans="1:14">
      <c r="A24" s="37" t="s">
        <v>40</v>
      </c>
      <c r="B24" s="62" t="s">
        <v>41</v>
      </c>
      <c r="C24" s="66"/>
      <c r="D24" s="66"/>
      <c r="E24" s="66"/>
      <c r="F24" s="66"/>
      <c r="G24" s="66">
        <f>G28</f>
        <v>607.717207624</v>
      </c>
      <c r="H24" s="66" t="s">
        <v>17</v>
      </c>
      <c r="I24" s="86"/>
      <c r="J24" s="86"/>
      <c r="K24" s="93"/>
      <c r="M24" s="96">
        <f>G24-6716.49</f>
        <v>-6108.772792376</v>
      </c>
      <c r="N24" s="75">
        <f>M24/6716.49</f>
        <v>-0.909518631364894</v>
      </c>
    </row>
    <row r="25" spans="1:11">
      <c r="A25" s="76"/>
      <c r="C25" s="76"/>
      <c r="D25" s="76"/>
      <c r="E25" s="76"/>
      <c r="F25" s="76"/>
      <c r="G25" s="76"/>
      <c r="H25" s="76"/>
      <c r="I25" s="76"/>
      <c r="J25" s="76"/>
      <c r="K25" s="76"/>
    </row>
    <row r="28" spans="7:7">
      <c r="G28" s="78">
        <f>G6+G7+G18</f>
        <v>607.717207624</v>
      </c>
    </row>
    <row r="29" spans="9:9">
      <c r="I29" s="97"/>
    </row>
  </sheetData>
  <mergeCells count="16">
    <mergeCell ref="A1:K1"/>
    <mergeCell ref="A2:K2"/>
    <mergeCell ref="C3:G3"/>
    <mergeCell ref="H3:J3"/>
    <mergeCell ref="A25:K25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3:K5"/>
  </mergeCells>
  <printOptions horizontalCentered="1"/>
  <pageMargins left="0.236220472440945" right="0.236220472440945" top="0.47244094488189" bottom="0.551181102362205" header="0.31496062992126" footer="0.31496062992126"/>
  <pageSetup paperSize="9" scale="84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view="pageBreakPreview" zoomScale="90" zoomScaleNormal="100" workbookViewId="0">
      <pane ySplit="5" topLeftCell="A6" activePane="bottomLeft" state="frozen"/>
      <selection/>
      <selection pane="bottomLeft" activeCell="D7" sqref="D7"/>
    </sheetView>
  </sheetViews>
  <sheetFormatPr defaultColWidth="9" defaultRowHeight="15"/>
  <cols>
    <col min="1" max="1" width="7.625" style="55" customWidth="1"/>
    <col min="2" max="2" width="27.875" style="56" customWidth="1"/>
    <col min="3" max="3" width="12.875" style="57" customWidth="1"/>
    <col min="4" max="4" width="12.875" style="58" customWidth="1"/>
    <col min="5" max="5" width="12.875" style="57" customWidth="1"/>
    <col min="6" max="6" width="13.375" style="57" customWidth="1"/>
    <col min="7" max="7" width="7.75" customWidth="1"/>
    <col min="8" max="8" width="15.625" style="57" customWidth="1"/>
    <col min="9" max="9" width="16.5" style="58" customWidth="1"/>
    <col min="10" max="10" width="25.25" style="56" customWidth="1"/>
    <col min="12" max="12" width="12.875" customWidth="1"/>
    <col min="13" max="13" width="12.625"/>
  </cols>
  <sheetData>
    <row r="1" s="9" customFormat="1" ht="32.25" customHeight="1" spans="1:255">
      <c r="A1" s="59" t="s">
        <v>42</v>
      </c>
      <c r="B1" s="60"/>
      <c r="C1" s="60"/>
      <c r="D1" s="60"/>
      <c r="E1" s="60"/>
      <c r="F1" s="60"/>
      <c r="G1" s="60"/>
      <c r="H1" s="60"/>
      <c r="I1" s="60"/>
      <c r="J1" s="56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4" customHeight="1" spans="1:10">
      <c r="A2" s="15" t="str">
        <f>'表1 总概算表'!A2</f>
        <v>工程名称：2025年城中区老旧小区配套基础设施改造工程(一期)</v>
      </c>
      <c r="B2" s="16"/>
      <c r="C2" s="61"/>
      <c r="D2" s="16"/>
      <c r="E2" s="61"/>
      <c r="F2" s="61"/>
      <c r="G2" s="16"/>
      <c r="H2" s="61"/>
      <c r="I2" s="16"/>
      <c r="J2" s="72"/>
    </row>
    <row r="3" s="9" customFormat="1" ht="24" customHeight="1" spans="1:10">
      <c r="A3" s="37" t="s">
        <v>2</v>
      </c>
      <c r="B3" s="62" t="s">
        <v>3</v>
      </c>
      <c r="C3" s="63" t="s">
        <v>4</v>
      </c>
      <c r="D3" s="63"/>
      <c r="E3" s="63"/>
      <c r="F3" s="63"/>
      <c r="G3" s="63" t="s">
        <v>5</v>
      </c>
      <c r="H3" s="64"/>
      <c r="I3" s="64"/>
      <c r="J3" s="65" t="s">
        <v>43</v>
      </c>
    </row>
    <row r="4" s="9" customFormat="1" ht="18" customHeight="1" spans="1:10">
      <c r="A4" s="37"/>
      <c r="B4" s="62"/>
      <c r="C4" s="65" t="s">
        <v>44</v>
      </c>
      <c r="D4" s="63" t="s">
        <v>45</v>
      </c>
      <c r="E4" s="63" t="s">
        <v>46</v>
      </c>
      <c r="F4" s="63" t="s">
        <v>11</v>
      </c>
      <c r="G4" s="66" t="s">
        <v>12</v>
      </c>
      <c r="H4" s="63" t="s">
        <v>13</v>
      </c>
      <c r="I4" s="65" t="s">
        <v>47</v>
      </c>
      <c r="J4" s="73"/>
    </row>
    <row r="5" s="9" customFormat="1" ht="24" customHeight="1" spans="1:10">
      <c r="A5" s="37"/>
      <c r="B5" s="62"/>
      <c r="C5" s="65"/>
      <c r="D5" s="63"/>
      <c r="E5" s="63"/>
      <c r="F5" s="63"/>
      <c r="G5" s="66"/>
      <c r="H5" s="63"/>
      <c r="I5" s="65"/>
      <c r="J5" s="73"/>
    </row>
    <row r="6" s="12" customFormat="1" ht="29.25" customHeight="1" spans="1:10">
      <c r="A6" s="37" t="s">
        <v>15</v>
      </c>
      <c r="B6" s="62" t="s">
        <v>16</v>
      </c>
      <c r="C6" s="63">
        <f>SUM(C7:C18)</f>
        <v>419.37</v>
      </c>
      <c r="D6" s="63"/>
      <c r="E6" s="63">
        <f>SUM(E7:E18)</f>
        <v>75.84</v>
      </c>
      <c r="F6" s="63">
        <f>SUM(F7:F18)</f>
        <v>495.21</v>
      </c>
      <c r="G6" s="67" t="s">
        <v>48</v>
      </c>
      <c r="H6" s="68">
        <v>809</v>
      </c>
      <c r="I6" s="67">
        <f>F6/H6*10000</f>
        <v>6121.260815822</v>
      </c>
      <c r="J6" s="62"/>
    </row>
    <row r="7" s="53" customFormat="1" ht="29.25" customHeight="1" spans="1:10">
      <c r="A7" s="46">
        <v>1</v>
      </c>
      <c r="B7" s="62" t="s">
        <v>49</v>
      </c>
      <c r="C7" s="69">
        <v>37.12</v>
      </c>
      <c r="D7" s="70"/>
      <c r="E7" s="69">
        <v>8.16</v>
      </c>
      <c r="F7" s="69">
        <f>SUM(C7:E7)</f>
        <v>45.28</v>
      </c>
      <c r="G7" s="48" t="s">
        <v>48</v>
      </c>
      <c r="H7" s="71">
        <v>55</v>
      </c>
      <c r="I7" s="67">
        <f t="shared" ref="I7:I18" si="0">F7/H7*10000</f>
        <v>8232.72727272727</v>
      </c>
      <c r="J7" s="46"/>
    </row>
    <row r="8" s="53" customFormat="1" ht="29.25" customHeight="1" spans="1:10">
      <c r="A8" s="46">
        <v>2</v>
      </c>
      <c r="B8" s="62" t="s">
        <v>50</v>
      </c>
      <c r="C8" s="69">
        <v>2.8</v>
      </c>
      <c r="D8" s="70"/>
      <c r="E8" s="69">
        <v>5.91</v>
      </c>
      <c r="F8" s="69">
        <f>SUM(C8:E8)</f>
        <v>8.71</v>
      </c>
      <c r="G8" s="48" t="s">
        <v>48</v>
      </c>
      <c r="H8" s="71">
        <v>9</v>
      </c>
      <c r="I8" s="67">
        <f t="shared" si="0"/>
        <v>9677.77777777778</v>
      </c>
      <c r="J8" s="46"/>
    </row>
    <row r="9" s="53" customFormat="1" ht="29.25" customHeight="1" spans="1:10">
      <c r="A9" s="46">
        <v>3</v>
      </c>
      <c r="B9" s="62" t="s">
        <v>51</v>
      </c>
      <c r="C9" s="69">
        <v>30.07</v>
      </c>
      <c r="D9" s="70"/>
      <c r="E9" s="69">
        <v>15.03</v>
      </c>
      <c r="F9" s="69">
        <f t="shared" ref="F9:F18" si="1">SUM(C9:E9)</f>
        <v>45.1</v>
      </c>
      <c r="G9" s="48" t="s">
        <v>48</v>
      </c>
      <c r="H9" s="71">
        <v>50</v>
      </c>
      <c r="I9" s="67">
        <f t="shared" si="0"/>
        <v>9020</v>
      </c>
      <c r="J9" s="46"/>
    </row>
    <row r="10" s="53" customFormat="1" ht="29.25" customHeight="1" spans="1:10">
      <c r="A10" s="46">
        <v>4</v>
      </c>
      <c r="B10" s="62" t="s">
        <v>52</v>
      </c>
      <c r="C10" s="69">
        <v>25.58</v>
      </c>
      <c r="D10" s="70"/>
      <c r="E10" s="69">
        <v>6.57</v>
      </c>
      <c r="F10" s="69">
        <f t="shared" si="1"/>
        <v>32.15</v>
      </c>
      <c r="G10" s="48" t="s">
        <v>48</v>
      </c>
      <c r="H10" s="71">
        <v>41</v>
      </c>
      <c r="I10" s="67">
        <f t="shared" si="0"/>
        <v>7841.46341463415</v>
      </c>
      <c r="J10" s="46"/>
    </row>
    <row r="11" s="53" customFormat="1" ht="29.25" customHeight="1" spans="1:10">
      <c r="A11" s="46">
        <v>5</v>
      </c>
      <c r="B11" s="62" t="s">
        <v>53</v>
      </c>
      <c r="C11" s="69">
        <v>0.53</v>
      </c>
      <c r="D11" s="70"/>
      <c r="E11" s="69">
        <v>8.53</v>
      </c>
      <c r="F11" s="69">
        <f t="shared" si="1"/>
        <v>9.06</v>
      </c>
      <c r="G11" s="48" t="s">
        <v>48</v>
      </c>
      <c r="H11" s="71">
        <v>168</v>
      </c>
      <c r="I11" s="67">
        <f t="shared" si="0"/>
        <v>539.285714285714</v>
      </c>
      <c r="J11" s="46"/>
    </row>
    <row r="12" s="53" customFormat="1" ht="29.25" customHeight="1" spans="1:10">
      <c r="A12" s="46">
        <v>6</v>
      </c>
      <c r="B12" s="62" t="s">
        <v>54</v>
      </c>
      <c r="C12" s="69">
        <v>144.29</v>
      </c>
      <c r="D12" s="70"/>
      <c r="E12" s="69">
        <v>1.39</v>
      </c>
      <c r="F12" s="69">
        <f t="shared" si="1"/>
        <v>145.68</v>
      </c>
      <c r="G12" s="48" t="s">
        <v>48</v>
      </c>
      <c r="H12" s="71">
        <v>154</v>
      </c>
      <c r="I12" s="67">
        <f t="shared" si="0"/>
        <v>9459.74025974026</v>
      </c>
      <c r="J12" s="46"/>
    </row>
    <row r="13" s="53" customFormat="1" ht="29.25" customHeight="1" spans="1:10">
      <c r="A13" s="46">
        <v>7</v>
      </c>
      <c r="B13" s="62" t="s">
        <v>55</v>
      </c>
      <c r="C13" s="69"/>
      <c r="D13" s="70"/>
      <c r="E13" s="69">
        <v>0.23</v>
      </c>
      <c r="F13" s="69">
        <f t="shared" si="1"/>
        <v>0.23</v>
      </c>
      <c r="G13" s="48" t="s">
        <v>48</v>
      </c>
      <c r="H13" s="71">
        <v>6</v>
      </c>
      <c r="I13" s="67">
        <f t="shared" si="0"/>
        <v>383.333333333333</v>
      </c>
      <c r="J13" s="46"/>
    </row>
    <row r="14" s="53" customFormat="1" ht="29.25" customHeight="1" spans="1:10">
      <c r="A14" s="46">
        <v>8</v>
      </c>
      <c r="B14" s="62" t="s">
        <v>56</v>
      </c>
      <c r="C14" s="69">
        <v>161.95</v>
      </c>
      <c r="D14" s="70"/>
      <c r="E14" s="69">
        <v>26.22</v>
      </c>
      <c r="F14" s="69">
        <f t="shared" si="1"/>
        <v>188.17</v>
      </c>
      <c r="G14" s="48" t="s">
        <v>48</v>
      </c>
      <c r="H14" s="71">
        <v>264</v>
      </c>
      <c r="I14" s="67">
        <f t="shared" si="0"/>
        <v>7127.65151515152</v>
      </c>
      <c r="J14" s="46"/>
    </row>
    <row r="15" s="53" customFormat="1" ht="29.25" customHeight="1" spans="1:10">
      <c r="A15" s="46">
        <v>9</v>
      </c>
      <c r="B15" s="62" t="s">
        <v>57</v>
      </c>
      <c r="C15" s="69">
        <v>5.85</v>
      </c>
      <c r="D15" s="70"/>
      <c r="E15" s="69">
        <v>2.52</v>
      </c>
      <c r="F15" s="69">
        <f t="shared" si="1"/>
        <v>8.37</v>
      </c>
      <c r="G15" s="48" t="s">
        <v>48</v>
      </c>
      <c r="H15" s="71">
        <v>32</v>
      </c>
      <c r="I15" s="67">
        <f t="shared" si="0"/>
        <v>2615.625</v>
      </c>
      <c r="J15" s="46"/>
    </row>
    <row r="16" s="53" customFormat="1" ht="29.25" customHeight="1" spans="1:10">
      <c r="A16" s="46">
        <v>10</v>
      </c>
      <c r="B16" s="62" t="s">
        <v>58</v>
      </c>
      <c r="C16" s="69">
        <v>5.75</v>
      </c>
      <c r="D16" s="70"/>
      <c r="E16" s="69">
        <v>0.41</v>
      </c>
      <c r="F16" s="69">
        <f t="shared" si="1"/>
        <v>6.16</v>
      </c>
      <c r="G16" s="48" t="s">
        <v>48</v>
      </c>
      <c r="H16" s="71">
        <v>6</v>
      </c>
      <c r="I16" s="67">
        <f t="shared" si="0"/>
        <v>10266.6666666667</v>
      </c>
      <c r="J16" s="46"/>
    </row>
    <row r="17" s="53" customFormat="1" ht="29.25" customHeight="1" spans="1:10">
      <c r="A17" s="46">
        <v>11</v>
      </c>
      <c r="B17" s="62" t="s">
        <v>59</v>
      </c>
      <c r="C17" s="69">
        <v>5.43</v>
      </c>
      <c r="D17" s="70"/>
      <c r="E17" s="69">
        <v>0.23</v>
      </c>
      <c r="F17" s="69">
        <f t="shared" si="1"/>
        <v>5.66</v>
      </c>
      <c r="G17" s="48" t="s">
        <v>48</v>
      </c>
      <c r="H17" s="71">
        <v>12</v>
      </c>
      <c r="I17" s="67">
        <f t="shared" si="0"/>
        <v>4716.66666666667</v>
      </c>
      <c r="J17" s="46"/>
    </row>
    <row r="18" s="54" customFormat="1" ht="29.25" customHeight="1" spans="1:12">
      <c r="A18" s="46">
        <v>12</v>
      </c>
      <c r="B18" s="62" t="s">
        <v>60</v>
      </c>
      <c r="C18" s="26"/>
      <c r="D18" s="70"/>
      <c r="E18" s="69">
        <v>0.64</v>
      </c>
      <c r="F18" s="69">
        <f t="shared" si="1"/>
        <v>0.64</v>
      </c>
      <c r="G18" s="48" t="s">
        <v>48</v>
      </c>
      <c r="H18" s="71">
        <v>12</v>
      </c>
      <c r="I18" s="67">
        <f t="shared" si="0"/>
        <v>533.333333333333</v>
      </c>
      <c r="J18" s="48"/>
      <c r="L18" s="74"/>
    </row>
  </sheetData>
  <mergeCells count="14">
    <mergeCell ref="A1:J1"/>
    <mergeCell ref="A2:J2"/>
    <mergeCell ref="C3:F3"/>
    <mergeCell ref="G3:I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3:J5"/>
  </mergeCells>
  <printOptions horizontalCentered="1"/>
  <pageMargins left="0.236220472440945" right="0.236220472440945" top="0.748031496062992" bottom="0.748031496062992" header="0.31496062992126" footer="0.31496062992126"/>
  <pageSetup paperSize="9" scale="86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view="pageBreakPreview" zoomScaleNormal="100" workbookViewId="0">
      <selection activeCell="D21" sqref="D21"/>
    </sheetView>
  </sheetViews>
  <sheetFormatPr defaultColWidth="9" defaultRowHeight="15" outlineLevelCol="7"/>
  <cols>
    <col min="1" max="1" width="7" style="8" customWidth="1"/>
    <col min="2" max="2" width="28.375" style="9" customWidth="1"/>
    <col min="3" max="3" width="47.125" style="9" customWidth="1"/>
    <col min="4" max="4" width="11.625" style="10" customWidth="1"/>
    <col min="5" max="5" width="27.875" style="3" customWidth="1"/>
    <col min="6" max="6" width="25.25" customWidth="1"/>
  </cols>
  <sheetData>
    <row r="1" ht="25.5" customHeight="1" spans="1:5">
      <c r="A1" s="11" t="s">
        <v>61</v>
      </c>
      <c r="B1" s="12"/>
      <c r="C1" s="12"/>
      <c r="D1" s="13"/>
      <c r="E1" s="14"/>
    </row>
    <row r="2" ht="20.1" customHeight="1" spans="1:5">
      <c r="A2" s="15" t="str">
        <f>'表1 总概算表'!A2</f>
        <v>工程名称：2025年城中区老旧小区配套基础设施改造工程(一期)</v>
      </c>
      <c r="B2" s="16"/>
      <c r="C2" s="16"/>
      <c r="D2" s="17"/>
      <c r="E2" s="18"/>
    </row>
    <row r="3" s="1" customFormat="1" ht="26.1" customHeight="1" spans="1:5">
      <c r="A3" s="19" t="s">
        <v>2</v>
      </c>
      <c r="B3" s="19" t="s">
        <v>62</v>
      </c>
      <c r="C3" s="19" t="s">
        <v>63</v>
      </c>
      <c r="D3" s="20" t="s">
        <v>64</v>
      </c>
      <c r="E3" s="19" t="s">
        <v>43</v>
      </c>
    </row>
    <row r="4" s="1" customFormat="1" ht="26.1" customHeight="1" spans="1:5">
      <c r="A4" s="21"/>
      <c r="B4" s="21"/>
      <c r="C4" s="21"/>
      <c r="D4" s="22"/>
      <c r="E4" s="21"/>
    </row>
    <row r="5" s="2" customFormat="1" ht="27.95" customHeight="1" spans="1:7">
      <c r="A5" s="21">
        <v>1</v>
      </c>
      <c r="B5" s="23" t="s">
        <v>20</v>
      </c>
      <c r="C5" s="23"/>
      <c r="D5" s="22">
        <f>G5</f>
        <v>30.405894</v>
      </c>
      <c r="E5" s="24"/>
      <c r="G5" s="25">
        <f>D6+D7+D8+D12+D16</f>
        <v>30.405894</v>
      </c>
    </row>
    <row r="6" s="3" customFormat="1" ht="27.95" customHeight="1" spans="1:5">
      <c r="A6" s="26">
        <v>1.1</v>
      </c>
      <c r="B6" s="27" t="s">
        <v>65</v>
      </c>
      <c r="C6" s="27" t="s">
        <v>66</v>
      </c>
      <c r="D6" s="28">
        <f>'表2 单项工程概算汇总表'!F6*2/100</f>
        <v>9.9042</v>
      </c>
      <c r="E6" s="27" t="s">
        <v>67</v>
      </c>
    </row>
    <row r="7" s="3" customFormat="1" ht="27.95" customHeight="1" spans="1:5">
      <c r="A7" s="26">
        <v>1.2</v>
      </c>
      <c r="B7" s="27" t="s">
        <v>68</v>
      </c>
      <c r="C7" s="29" t="s">
        <v>69</v>
      </c>
      <c r="D7" s="28">
        <f>'表2 单项工程概算汇总表'!F6*2/1000</f>
        <v>0.99042</v>
      </c>
      <c r="E7" s="27" t="s">
        <v>70</v>
      </c>
    </row>
    <row r="8" s="3" customFormat="1" ht="27.95" customHeight="1" spans="1:7">
      <c r="A8" s="26">
        <v>1.3</v>
      </c>
      <c r="B8" s="27" t="s">
        <v>71</v>
      </c>
      <c r="C8" s="27" t="s">
        <v>72</v>
      </c>
      <c r="D8" s="28">
        <f>G8</f>
        <v>0</v>
      </c>
      <c r="E8" s="27" t="s">
        <v>73</v>
      </c>
      <c r="G8" s="30">
        <f>D9+D10+D11</f>
        <v>0</v>
      </c>
    </row>
    <row r="9" s="3" customFormat="1" ht="27.95" customHeight="1" spans="1:5">
      <c r="A9" s="31" t="s">
        <v>74</v>
      </c>
      <c r="B9" s="31" t="s">
        <v>75</v>
      </c>
      <c r="C9" s="31" t="s">
        <v>35</v>
      </c>
      <c r="D9" s="32">
        <v>0</v>
      </c>
      <c r="E9" s="27"/>
    </row>
    <row r="10" s="3" customFormat="1" ht="27.95" customHeight="1" spans="1:5">
      <c r="A10" s="31" t="s">
        <v>76</v>
      </c>
      <c r="B10" s="31" t="s">
        <v>77</v>
      </c>
      <c r="C10" s="31" t="s">
        <v>35</v>
      </c>
      <c r="D10" s="32">
        <v>0</v>
      </c>
      <c r="E10" s="27"/>
    </row>
    <row r="11" s="3" customFormat="1" ht="27.95" customHeight="1" spans="1:5">
      <c r="A11" s="31" t="s">
        <v>78</v>
      </c>
      <c r="B11" s="31" t="s">
        <v>79</v>
      </c>
      <c r="C11" s="31" t="s">
        <v>35</v>
      </c>
      <c r="D11" s="32">
        <v>0</v>
      </c>
      <c r="E11" s="33" t="s">
        <v>80</v>
      </c>
    </row>
    <row r="12" s="3" customFormat="1" ht="27.95" customHeight="1" spans="1:7">
      <c r="A12" s="26">
        <v>1.4</v>
      </c>
      <c r="B12" s="27" t="s">
        <v>81</v>
      </c>
      <c r="C12" s="27" t="s">
        <v>82</v>
      </c>
      <c r="D12" s="28">
        <f>G12</f>
        <v>6.43773</v>
      </c>
      <c r="E12" s="27" t="s">
        <v>73</v>
      </c>
      <c r="F12" s="34"/>
      <c r="G12" s="30">
        <f>D13+D14+D15</f>
        <v>6.43773</v>
      </c>
    </row>
    <row r="13" s="3" customFormat="1" ht="27.95" customHeight="1" spans="1:5">
      <c r="A13" s="35" t="s">
        <v>83</v>
      </c>
      <c r="B13" s="35" t="s">
        <v>84</v>
      </c>
      <c r="C13" s="35" t="s">
        <v>85</v>
      </c>
      <c r="D13" s="36">
        <f>'表2 单项工程概算汇总表'!F6*3.9/1000</f>
        <v>1.931319</v>
      </c>
      <c r="E13" s="27" t="s">
        <v>73</v>
      </c>
    </row>
    <row r="14" s="3" customFormat="1" ht="27.95" customHeight="1" spans="1:5">
      <c r="A14" s="35" t="s">
        <v>86</v>
      </c>
      <c r="B14" s="35" t="s">
        <v>87</v>
      </c>
      <c r="C14" s="35" t="s">
        <v>88</v>
      </c>
      <c r="D14" s="36">
        <f>'表2 单项工程概算汇总表'!F6*5.2/1000</f>
        <v>2.575092</v>
      </c>
      <c r="E14" s="27" t="s">
        <v>73</v>
      </c>
    </row>
    <row r="15" s="3" customFormat="1" ht="27.95" customHeight="1" spans="1:5">
      <c r="A15" s="35" t="s">
        <v>89</v>
      </c>
      <c r="B15" s="35" t="s">
        <v>90</v>
      </c>
      <c r="C15" s="35" t="s">
        <v>91</v>
      </c>
      <c r="D15" s="36">
        <f>'表2 单项工程概算汇总表'!F6*3.9/1000</f>
        <v>1.931319</v>
      </c>
      <c r="E15" s="27" t="s">
        <v>73</v>
      </c>
    </row>
    <row r="16" s="3" customFormat="1" ht="27.95" customHeight="1" spans="1:5">
      <c r="A16" s="26">
        <v>1.5</v>
      </c>
      <c r="B16" s="27" t="s">
        <v>92</v>
      </c>
      <c r="C16" s="27" t="s">
        <v>93</v>
      </c>
      <c r="D16" s="28">
        <f>'表2 单项工程概算汇总表'!F6*13.2/500</f>
        <v>13.073544</v>
      </c>
      <c r="E16" s="27" t="s">
        <v>73</v>
      </c>
    </row>
    <row r="17" s="3" customFormat="1" ht="27.95" customHeight="1" spans="1:5">
      <c r="A17" s="37">
        <v>2</v>
      </c>
      <c r="B17" s="38" t="s">
        <v>21</v>
      </c>
      <c r="C17" s="27" t="s">
        <v>35</v>
      </c>
      <c r="D17" s="39">
        <v>0</v>
      </c>
      <c r="E17" s="27"/>
    </row>
    <row r="18" s="4" customFormat="1" ht="27.95" customHeight="1" spans="1:7">
      <c r="A18" s="37">
        <v>3</v>
      </c>
      <c r="B18" s="38" t="s">
        <v>22</v>
      </c>
      <c r="C18" s="40" t="s">
        <v>94</v>
      </c>
      <c r="D18" s="41">
        <f>SUM(D19:D22)</f>
        <v>6.304</v>
      </c>
      <c r="E18" s="27" t="s">
        <v>73</v>
      </c>
      <c r="G18" s="42">
        <f>SUM(D19:D22)</f>
        <v>6.304</v>
      </c>
    </row>
    <row r="19" s="4" customFormat="1" ht="27.95" customHeight="1" spans="1:5">
      <c r="A19" s="26">
        <v>3.1</v>
      </c>
      <c r="B19" s="29" t="s">
        <v>95</v>
      </c>
      <c r="C19" s="27" t="s">
        <v>35</v>
      </c>
      <c r="D19" s="43">
        <v>0</v>
      </c>
      <c r="E19" s="29"/>
    </row>
    <row r="20" s="3" customFormat="1" ht="27.95" customHeight="1" spans="1:5">
      <c r="A20" s="26">
        <v>3.2</v>
      </c>
      <c r="B20" s="29" t="s">
        <v>96</v>
      </c>
      <c r="C20" s="27" t="s">
        <v>97</v>
      </c>
      <c r="D20" s="43">
        <f>3.2+(4.8-3.2)*(610-500)/500</f>
        <v>3.552</v>
      </c>
      <c r="E20" s="29" t="s">
        <v>73</v>
      </c>
    </row>
    <row r="21" s="3" customFormat="1" ht="27.95" customHeight="1" spans="1:5">
      <c r="A21" s="26">
        <v>3.3</v>
      </c>
      <c r="B21" s="29" t="s">
        <v>98</v>
      </c>
      <c r="C21" s="27" t="s">
        <v>99</v>
      </c>
      <c r="D21" s="43">
        <f>1.2+(2-1.2)*(610-500)/500</f>
        <v>1.376</v>
      </c>
      <c r="E21" s="27" t="s">
        <v>73</v>
      </c>
    </row>
    <row r="22" s="3" customFormat="1" ht="27.95" customHeight="1" spans="1:5">
      <c r="A22" s="26">
        <v>3.4</v>
      </c>
      <c r="B22" s="29" t="s">
        <v>100</v>
      </c>
      <c r="C22" s="27" t="str">
        <f>C21</f>
        <v>1.2+(2-1.2)*(总投资-500)/500</v>
      </c>
      <c r="D22" s="43">
        <f>1.2+(2-1.2)*(610-500)/500</f>
        <v>1.376</v>
      </c>
      <c r="E22" s="27" t="s">
        <v>73</v>
      </c>
    </row>
    <row r="23" s="4" customFormat="1" ht="27.95" customHeight="1" spans="1:7">
      <c r="A23" s="37">
        <v>4</v>
      </c>
      <c r="B23" s="38" t="s">
        <v>23</v>
      </c>
      <c r="C23" s="40" t="s">
        <v>101</v>
      </c>
      <c r="D23" s="41">
        <f>D24+D25</f>
        <v>30.7667964</v>
      </c>
      <c r="E23" s="44"/>
      <c r="G23" s="42">
        <f>D24+D25</f>
        <v>30.7667964</v>
      </c>
    </row>
    <row r="24" s="3" customFormat="1" ht="27.95" customHeight="1" spans="1:5">
      <c r="A24" s="26">
        <v>4.1</v>
      </c>
      <c r="B24" s="33" t="s">
        <v>102</v>
      </c>
      <c r="C24" s="27" t="s">
        <v>103</v>
      </c>
      <c r="D24" s="43">
        <f>0.7*12</f>
        <v>8.4</v>
      </c>
      <c r="E24" s="29" t="s">
        <v>104</v>
      </c>
    </row>
    <row r="25" s="3" customFormat="1" ht="27.95" customHeight="1" spans="1:5">
      <c r="A25" s="26">
        <v>4.2</v>
      </c>
      <c r="B25" s="27" t="s">
        <v>105</v>
      </c>
      <c r="C25" s="27" t="s">
        <v>106</v>
      </c>
      <c r="D25" s="36">
        <f>(8.1+(18.81-8.1)*('表2 单项工程概算汇总表'!F6-200)/300)*1.2</f>
        <v>22.3667964</v>
      </c>
      <c r="E25" s="44" t="s">
        <v>73</v>
      </c>
    </row>
    <row r="26" s="5" customFormat="1" ht="27.95" customHeight="1" spans="1:8">
      <c r="A26" s="37">
        <v>5</v>
      </c>
      <c r="B26" s="38" t="s">
        <v>24</v>
      </c>
      <c r="C26" s="35" t="s">
        <v>35</v>
      </c>
      <c r="D26" s="41">
        <v>0</v>
      </c>
      <c r="E26" s="44" t="s">
        <v>73</v>
      </c>
      <c r="H26" s="5" t="s">
        <v>107</v>
      </c>
    </row>
    <row r="27" s="6" customFormat="1" ht="27.95" customHeight="1" spans="1:5">
      <c r="A27" s="37">
        <v>6</v>
      </c>
      <c r="B27" s="38" t="s">
        <v>25</v>
      </c>
      <c r="C27" s="40" t="s">
        <v>108</v>
      </c>
      <c r="D27" s="41">
        <f>'表2 单项工程概算汇总表'!F6*1/100</f>
        <v>4.9521</v>
      </c>
      <c r="E27" s="45" t="s">
        <v>109</v>
      </c>
    </row>
    <row r="28" s="7" customFormat="1" ht="27.95" customHeight="1" spans="1:5">
      <c r="A28" s="37">
        <v>7</v>
      </c>
      <c r="B28" s="40" t="s">
        <v>26</v>
      </c>
      <c r="C28" s="40" t="s">
        <v>110</v>
      </c>
      <c r="D28" s="41">
        <f>'表2 单项工程概算汇总表'!F6*0.3/100</f>
        <v>1.48563</v>
      </c>
      <c r="E28" s="45" t="s">
        <v>111</v>
      </c>
    </row>
    <row r="29" s="7" customFormat="1" ht="27.95" customHeight="1" spans="1:5">
      <c r="A29" s="46">
        <v>8</v>
      </c>
      <c r="B29" s="47" t="s">
        <v>112</v>
      </c>
      <c r="C29" s="38" t="s">
        <v>113</v>
      </c>
      <c r="D29" s="39">
        <f>'表2 单项工程概算汇总表'!C6*1/100</f>
        <v>4.1937</v>
      </c>
      <c r="E29" s="27" t="s">
        <v>73</v>
      </c>
    </row>
    <row r="30" ht="27.95" customHeight="1" spans="1:5">
      <c r="A30" s="37">
        <v>9</v>
      </c>
      <c r="B30" s="38" t="s">
        <v>27</v>
      </c>
      <c r="C30" s="27" t="s">
        <v>35</v>
      </c>
      <c r="D30" s="41">
        <v>0</v>
      </c>
      <c r="E30" s="29" t="s">
        <v>114</v>
      </c>
    </row>
    <row r="31" ht="27.95" customHeight="1" spans="1:5">
      <c r="A31" s="37">
        <v>10</v>
      </c>
      <c r="B31" s="38" t="s">
        <v>28</v>
      </c>
      <c r="C31" s="40" t="s">
        <v>115</v>
      </c>
      <c r="D31" s="41">
        <f>D32+D33+D34</f>
        <v>0</v>
      </c>
      <c r="E31" s="29"/>
    </row>
    <row r="32" ht="27.95" customHeight="1" spans="1:5">
      <c r="A32" s="48">
        <v>10.1</v>
      </c>
      <c r="B32" s="49" t="s">
        <v>116</v>
      </c>
      <c r="C32" s="50" t="s">
        <v>35</v>
      </c>
      <c r="D32" s="28">
        <v>0</v>
      </c>
      <c r="E32" s="51" t="s">
        <v>117</v>
      </c>
    </row>
    <row r="33" ht="27.95" customHeight="1" spans="1:5">
      <c r="A33" s="48">
        <v>10.2</v>
      </c>
      <c r="B33" s="49" t="s">
        <v>118</v>
      </c>
      <c r="C33" s="50" t="s">
        <v>35</v>
      </c>
      <c r="D33" s="28">
        <v>0</v>
      </c>
      <c r="E33" s="51" t="s">
        <v>119</v>
      </c>
    </row>
    <row r="34" ht="27.95" customHeight="1" spans="1:5">
      <c r="A34" s="48">
        <v>10.3</v>
      </c>
      <c r="B34" s="49" t="s">
        <v>120</v>
      </c>
      <c r="C34" s="50" t="s">
        <v>35</v>
      </c>
      <c r="D34" s="28">
        <v>0</v>
      </c>
      <c r="E34" s="51" t="s">
        <v>121</v>
      </c>
    </row>
    <row r="35" ht="27.95" customHeight="1" spans="1:5">
      <c r="A35" s="40"/>
      <c r="B35" s="40" t="s">
        <v>11</v>
      </c>
      <c r="C35" s="40"/>
      <c r="D35" s="41">
        <f>D37</f>
        <v>78.1081204</v>
      </c>
      <c r="E35" s="52"/>
    </row>
    <row r="37" spans="4:4">
      <c r="D37" s="10">
        <f>D5+D17+D18+D23+D26+D27+D28+D29+D30+D31</f>
        <v>78.1081204</v>
      </c>
    </row>
  </sheetData>
  <mergeCells count="7">
    <mergeCell ref="A1:E1"/>
    <mergeCell ref="A2:E2"/>
    <mergeCell ref="A3:A4"/>
    <mergeCell ref="B3:B4"/>
    <mergeCell ref="C3:C4"/>
    <mergeCell ref="D3:D4"/>
    <mergeCell ref="E3:E4"/>
  </mergeCells>
  <printOptions horizontalCentered="1"/>
  <pageMargins left="0.31496062992126" right="0.31496062992126" top="0.748031496062992" bottom="0.748031496062992" header="0.31496062992126" footer="0.31496062992126"/>
  <pageSetup paperSize="9" scale="74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总概算表</vt:lpstr>
      <vt:lpstr>表2 单项工程概算汇总表</vt:lpstr>
      <vt:lpstr>表3 工程建设其他费用计算表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佟兒</cp:lastModifiedBy>
  <cp:revision>1</cp:revision>
  <dcterms:created xsi:type="dcterms:W3CDTF">2011-03-01T01:09:00Z</dcterms:created>
  <cp:lastPrinted>2021-11-24T03:54:00Z</cp:lastPrinted>
  <dcterms:modified xsi:type="dcterms:W3CDTF">2025-08-07T08:30:10Z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7DB54B927DE14F28BE191ED8FBE73C37_13</vt:lpwstr>
  </property>
</Properties>
</file>