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单项工程概算汇总表'!$A$1:$J$13</definedName>
    <definedName name="_xlnm.Print_Area" localSheetId="2">'表3 工程建设其他费用计算表'!$A$1:$E$34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<sst xmlns="http://schemas.openxmlformats.org/spreadsheetml/2006/main" count="170" uniqueCount="118">
  <si>
    <t>2025年城中区老旧小区配套基础设施改造工程（二期）总投资概算表</t>
  </si>
  <si>
    <t>工程名称：2025年城中区老旧小区配套基础设施改造工程(二期)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</si>
  <si>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</si>
  <si>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</si>
  <si>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</si>
  <si>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</si>
  <si>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</si>
  <si>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</si>
  <si>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</si>
  <si>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</si>
  <si>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</si>
  <si>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</si>
  <si>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</si>
  <si>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</si>
  <si>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(元/户)</t>
  </si>
  <si>
    <t>一</t>
  </si>
  <si>
    <t>工程费用</t>
  </si>
  <si>
    <r>
      <rPr>
        <b/>
        <sz val="12"/>
        <rFont val="宋体"/>
        <charset val="134"/>
      </rPr>
      <t>户</t>
    </r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</si>
  <si>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</si>
  <si>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</si>
  <si>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</si>
  <si>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</si>
  <si>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</si>
  <si>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</si>
  <si>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</si>
  <si>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</si>
  <si>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</si>
  <si>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</si>
  <si>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</si>
  <si>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</si>
  <si>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</si>
  <si>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r>
      <rPr>
        <sz val="12"/>
        <rFont val="宋体"/>
        <charset val="134"/>
      </rPr>
      <t>基本预备费(一+二)*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</si>
  <si>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涨价预备费</t>
  </si>
  <si>
    <t>四</t>
  </si>
  <si>
    <t>建设投资</t>
  </si>
  <si>
    <r>
      <rPr>
        <sz val="12"/>
        <rFont val="宋体"/>
        <charset val="134"/>
      </rPr>
      <t>不考虑</t>
    </r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</si>
  <si>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</si>
  <si>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</si>
  <si>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</si>
  <si>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</si>
  <si>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</si>
  <si>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</si>
  <si>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</si>
  <si>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</si>
  <si>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</si>
  <si>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</si>
  <si>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</si>
  <si>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</si>
  <si>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户</t>
  </si>
  <si>
    <t>蓝色港湾</t>
  </si>
  <si>
    <t>连塘苑</t>
  </si>
  <si>
    <t>美容美发公司商住楼</t>
  </si>
  <si>
    <t>声福居商住楼</t>
  </si>
  <si>
    <t>书香园小区</t>
  </si>
  <si>
    <t>雅江苑</t>
  </si>
  <si>
    <t>永意大厦</t>
  </si>
  <si>
    <t>表3 工程建设其他费用计算表</t>
  </si>
  <si>
    <t>费用名称</t>
  </si>
  <si>
    <t>计算公式或依据</t>
  </si>
  <si>
    <t>金额       （万元）</t>
  </si>
  <si>
    <t>项目建设管理费</t>
  </si>
  <si>
    <t>项目总投资*2%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</si>
  <si>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</si>
  <si>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</si>
  <si>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</si>
  <si>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</si>
  <si>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</si>
  <si>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</si>
  <si>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</si>
  <si>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</si>
  <si>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</si>
  <si>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不考虑</t>
  </si>
  <si>
    <t>1.3.2</t>
  </si>
  <si>
    <t>服务招标代理服务费</t>
  </si>
  <si>
    <t>1.3.3</t>
  </si>
  <si>
    <t>工程招标代理服务费</t>
  </si>
  <si>
    <t>中标单位支付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</si>
  <si>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</si>
  <si>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</si>
  <si>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</si>
  <si>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</si>
  <si>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</si>
  <si>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</si>
  <si>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</si>
  <si>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</si>
  <si>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</si>
  <si>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</si>
  <si>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</si>
  <si>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</si>
  <si>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13.2+(24.08-13.2)/(1000-500)*(工程费用-500)</t>
  </si>
  <si>
    <t>3.1+3.2+3.3+3.4</t>
  </si>
  <si>
    <t>编制改造方案</t>
  </si>
  <si>
    <t>(4.4+(6.8-4.4)/(1000-500)*(631.55-500))</t>
  </si>
  <si>
    <t>项目建议书+可行性研究报告合并为改造方案</t>
  </si>
  <si>
    <t>评估改造方案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</si>
  <si>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2</t>
    </r>
    <r>
      <rPr>
        <sz val="12"/>
        <rFont val="宋体"/>
        <charset val="134"/>
      </rPr>
      <t>-</t>
    </r>
    <r>
      <rPr>
        <sz val="12"/>
        <rFont val="宋体"/>
        <charset val="134"/>
      </rPr>
      <t>1.2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</si>
  <si>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</si>
  <si>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</si>
  <si>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</si>
  <si>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</si>
  <si>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</si>
  <si>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</si>
  <si>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（8.1+(18.81-8.1)*(工程费用-200)/300）*1.2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</si>
  <si>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</si>
  <si>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第一部分工程费用×1%</t>
  </si>
  <si>
    <t>第一部分工程费用的0.5%~2.0%</t>
  </si>
  <si>
    <r>
      <rPr>
        <b/>
        <sz val="12"/>
        <rFont val="宋体"/>
        <charset val="134"/>
      </rPr>
      <t>第一部分工程费用×0.</t>
    </r>
    <r>
      <rPr>
        <b/>
        <sz val="12"/>
        <rFont val="宋体"/>
        <charset val="134"/>
      </rPr>
      <t>3%</t>
    </r>
  </si>
  <si>
    <t>第一部分工程费用的0.3%~0.6%</t>
  </si>
  <si>
    <t>检验试验费</t>
  </si>
  <si>
    <t>建筑工程费*1%</t>
  </si>
  <si>
    <r>
      <rPr>
        <sz val="12"/>
        <rFont val="宋体"/>
        <charset val="134"/>
      </rPr>
      <t>桂政办[</t>
    </r>
    <r>
      <rPr>
        <sz val="12"/>
        <rFont val="宋体"/>
        <charset val="134"/>
      </rPr>
      <t>1986]64号、桂财综[2015]4号</t>
    </r>
  </si>
  <si>
    <t>10.1+10.2+10.3</t>
  </si>
  <si>
    <t>防空地下室易地建设费</t>
  </si>
  <si>
    <t>桂防规[2020]1号</t>
  </si>
  <si>
    <t>地质灾害危险性评估费</t>
  </si>
  <si>
    <t>国务院令394号、桂价费字[2007]572号</t>
  </si>
  <si>
    <t>水土保持补偿费</t>
  </si>
  <si>
    <t>桂财税[2016]37号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</si>
</sst>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  <numFmt numFmtId="180" formatCode="0;[Red]0"/>
  </numFmts>
  <fonts count="34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3" fillId="0" borderId="0">
      <alignment horizontal="left" vertical="top" wrapText="1"/>
    </xf>
    <xf numFmtId="0" fontId="2" fillId="0" borderId="0" applyAlignment="0"/>
    <xf numFmtId="0" fontId="33" fillId="0" borderId="0">
      <alignment horizontal="left" vertical="top" wrapText="1"/>
    </xf>
    <xf numFmtId="0" fontId="33" fillId="0" borderId="0">
      <alignment horizontal="left" vertical="top" wrapText="1"/>
    </xf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80" fontId="11" fillId="0" borderId="3" xfId="0" applyNumberFormat="1" applyFont="1" applyBorder="1" applyAlignment="1">
      <alignment horizontal="center" vertical="center"/>
    </xf>
    <xf numFmtId="10" fontId="11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="90" zoomScaleNormal="100" workbookViewId="0">
      <selection activeCell="M2" sqref="M2"/>
    </sheetView>
  </sheetViews>
  <sheetFormatPr defaultColWidth="9" defaultRowHeight="15"/>
  <cols>
    <col min="1" max="1" width="7.25" style="8" customWidth="1"/>
    <col min="2" max="2" width="33.125" style="74" customWidth="1"/>
    <col min="3" max="3" width="10.7416666666667" style="75" customWidth="1"/>
    <col min="4" max="4" width="10.55" style="75" customWidth="1"/>
    <col min="5" max="5" width="10.4666666666667" style="75" customWidth="1"/>
    <col min="6" max="6" width="10.925" style="76" customWidth="1"/>
    <col min="7" max="7" width="11.3833333333333" style="76" customWidth="1"/>
    <col min="8" max="9" width="8.125" style="75" customWidth="1"/>
    <col min="10" max="10" width="8.88333333333333" style="75" customWidth="1"/>
    <col min="11" max="11" width="10.8333333333333" style="77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33" customHeight="1" spans="1:11">
      <c r="A1" s="11" t="s">
        <v>0</v>
      </c>
      <c r="B1" s="12"/>
      <c r="C1" s="12"/>
      <c r="D1" s="12"/>
      <c r="E1" s="12"/>
      <c r="F1" s="12"/>
      <c r="G1" s="78"/>
      <c r="H1" s="12"/>
      <c r="I1" s="12"/>
      <c r="J1" s="12"/>
      <c r="K1" s="86"/>
    </row>
    <row r="2" ht="27" customHeight="1" spans="1:11">
      <c r="A2" s="79" t="s">
        <v>1</v>
      </c>
      <c r="B2" s="16"/>
      <c r="C2" s="16"/>
      <c r="D2" s="16"/>
      <c r="E2" s="16"/>
      <c r="F2" s="16"/>
      <c r="G2" s="80"/>
      <c r="H2" s="16"/>
      <c r="I2" s="16"/>
      <c r="J2" s="16"/>
      <c r="K2" s="87"/>
    </row>
    <row r="3" ht="18" customHeight="1" spans="1:11">
      <c r="A3" s="37" t="s">
        <v>2</v>
      </c>
      <c r="B3" s="37" t="s">
        <v>3</v>
      </c>
      <c r="C3" s="65" t="s">
        <v>4</v>
      </c>
      <c r="D3" s="65"/>
      <c r="E3" s="65"/>
      <c r="F3" s="65"/>
      <c r="G3" s="65"/>
      <c r="H3" s="62" t="s">
        <v>5</v>
      </c>
      <c r="I3" s="63"/>
      <c r="J3" s="63"/>
      <c r="K3" s="88" t="s">
        <v>6</v>
      </c>
    </row>
    <row r="4" ht="18" customHeight="1" spans="1:11">
      <c r="A4" s="37"/>
      <c r="B4" s="37"/>
      <c r="C4" s="81" t="s">
        <v>7</v>
      </c>
      <c r="D4" s="81" t="s">
        <v>8</v>
      </c>
      <c r="E4" s="81" t="s">
        <v>9</v>
      </c>
      <c r="F4" s="81" t="s">
        <v>10</v>
      </c>
      <c r="G4" s="65" t="s">
        <v>11</v>
      </c>
      <c r="H4" s="65" t="s">
        <v>12</v>
      </c>
      <c r="I4" s="65" t="s">
        <v>13</v>
      </c>
      <c r="J4" s="89" t="s">
        <v>14</v>
      </c>
      <c r="K4" s="90"/>
    </row>
    <row r="5" ht="27.75" customHeight="1" spans="1:11">
      <c r="A5" s="37"/>
      <c r="B5" s="37"/>
      <c r="C5" s="82"/>
      <c r="D5" s="82"/>
      <c r="E5" s="82"/>
      <c r="F5" s="82"/>
      <c r="G5" s="65"/>
      <c r="H5" s="65"/>
      <c r="I5" s="65"/>
      <c r="J5" s="89"/>
      <c r="K5" s="90"/>
    </row>
    <row r="6" s="73" customFormat="1" ht="25" customHeight="1" spans="1:11">
      <c r="A6" s="37" t="s">
        <v>15</v>
      </c>
      <c r="B6" s="37" t="s">
        <v>16</v>
      </c>
      <c r="C6" s="83">
        <f>'表2 单项工程概算汇总表'!C6</f>
        <v>413.3882</v>
      </c>
      <c r="D6" s="83"/>
      <c r="E6" s="83">
        <f>'表2 单项工程概算汇总表'!E6</f>
        <v>106.72</v>
      </c>
      <c r="F6" s="83"/>
      <c r="G6" s="83">
        <f>SUM(C6:F6)</f>
        <v>520.1082</v>
      </c>
      <c r="H6" s="83" t="s">
        <v>17</v>
      </c>
      <c r="I6" s="91">
        <v>826</v>
      </c>
      <c r="J6" s="84">
        <f>G6*10000/I6</f>
        <v>6296.70944309927</v>
      </c>
      <c r="K6" s="92">
        <f>G6/G24</f>
        <v>0.823861835207068</v>
      </c>
    </row>
    <row r="7" ht="25" customHeight="1" spans="1:11">
      <c r="A7" s="37" t="s">
        <v>18</v>
      </c>
      <c r="B7" s="37" t="s">
        <v>19</v>
      </c>
      <c r="C7" s="84"/>
      <c r="D7" s="84"/>
      <c r="E7" s="84"/>
      <c r="F7" s="83"/>
      <c r="G7" s="83">
        <f>'表3 工程建设其他费用计算表'!D34</f>
        <v>81.14430132</v>
      </c>
      <c r="H7" s="83" t="s">
        <v>17</v>
      </c>
      <c r="I7" s="91">
        <v>826</v>
      </c>
      <c r="J7" s="84">
        <f>G7*10000/I7</f>
        <v>982.376529297821</v>
      </c>
      <c r="K7" s="92">
        <f>G7/G24</f>
        <v>0.128534203079456</v>
      </c>
    </row>
    <row r="8" ht="25" customHeight="1" spans="1:13">
      <c r="A8" s="26">
        <v>1</v>
      </c>
      <c r="B8" s="85" t="s">
        <v>20</v>
      </c>
      <c r="C8" s="84"/>
      <c r="D8" s="84"/>
      <c r="E8" s="84"/>
      <c r="F8" s="84">
        <f>'表3 工程建设其他费用计算表'!D5</f>
        <v>34.065177432</v>
      </c>
      <c r="G8" s="84">
        <f>F8</f>
        <v>34.065177432</v>
      </c>
      <c r="H8" s="84"/>
      <c r="I8" s="84"/>
      <c r="J8" s="84"/>
      <c r="K8" s="92"/>
      <c r="M8" s="93"/>
    </row>
    <row r="9" ht="25" customHeight="1" spans="1:11">
      <c r="A9" s="26">
        <v>2</v>
      </c>
      <c r="B9" s="85" t="s">
        <v>21</v>
      </c>
      <c r="C9" s="84"/>
      <c r="D9" s="84"/>
      <c r="E9" s="84"/>
      <c r="F9" s="84">
        <f>'表3 工程建设其他费用计算表'!D17</f>
        <v>0</v>
      </c>
      <c r="G9" s="84">
        <f t="shared" ref="G9:G17" si="0">F9</f>
        <v>0</v>
      </c>
      <c r="H9" s="84"/>
      <c r="I9" s="84"/>
      <c r="J9" s="84"/>
      <c r="K9" s="92"/>
    </row>
    <row r="10" ht="25" customHeight="1" spans="1:11">
      <c r="A10" s="26">
        <v>3</v>
      </c>
      <c r="B10" s="26" t="s">
        <v>22</v>
      </c>
      <c r="C10" s="84"/>
      <c r="D10" s="84"/>
      <c r="E10" s="84"/>
      <c r="F10" s="84">
        <f>'表3 工程建设其他费用计算表'!D18</f>
        <v>7.8504</v>
      </c>
      <c r="G10" s="84">
        <f t="shared" si="0"/>
        <v>7.8504</v>
      </c>
      <c r="H10" s="84"/>
      <c r="I10" s="84"/>
      <c r="J10" s="84"/>
      <c r="K10" s="92"/>
    </row>
    <row r="11" ht="25" customHeight="1" spans="1:11">
      <c r="A11" s="26">
        <v>4</v>
      </c>
      <c r="B11" s="85" t="s">
        <v>23</v>
      </c>
      <c r="C11" s="84"/>
      <c r="D11" s="84"/>
      <c r="E11" s="84"/>
      <c r="F11" s="84">
        <f>'表3 工程建设其他费用计算表'!D22</f>
        <v>28.333435288</v>
      </c>
      <c r="G11" s="84">
        <f t="shared" si="0"/>
        <v>28.333435288</v>
      </c>
      <c r="H11" s="84"/>
      <c r="I11" s="84"/>
      <c r="J11" s="84"/>
      <c r="K11" s="92"/>
    </row>
    <row r="12" ht="25" customHeight="1" spans="1:11">
      <c r="A12" s="26">
        <v>5</v>
      </c>
      <c r="B12" s="85" t="s">
        <v>24</v>
      </c>
      <c r="C12" s="84"/>
      <c r="D12" s="84"/>
      <c r="E12" s="84"/>
      <c r="F12" s="84">
        <f>'表3 工程建设其他费用计算表'!D25</f>
        <v>0</v>
      </c>
      <c r="G12" s="84">
        <f t="shared" si="0"/>
        <v>0</v>
      </c>
      <c r="H12" s="84"/>
      <c r="I12" s="84"/>
      <c r="J12" s="84"/>
      <c r="K12" s="92"/>
    </row>
    <row r="13" ht="25" customHeight="1" spans="1:14">
      <c r="A13" s="26">
        <v>6</v>
      </c>
      <c r="B13" s="85" t="s">
        <v>25</v>
      </c>
      <c r="C13" s="84"/>
      <c r="D13" s="84"/>
      <c r="E13" s="84"/>
      <c r="F13" s="84">
        <f>'表3 工程建设其他费用计算表'!D26</f>
        <v>5.201082</v>
      </c>
      <c r="G13" s="84">
        <f t="shared" si="0"/>
        <v>5.201082</v>
      </c>
      <c r="H13" s="84"/>
      <c r="I13" s="84"/>
      <c r="J13" s="84"/>
      <c r="K13" s="92"/>
      <c r="N13" s="93"/>
    </row>
    <row r="14" ht="25" customHeight="1" spans="1:14">
      <c r="A14" s="26">
        <v>7</v>
      </c>
      <c r="B14" s="26" t="s">
        <v>26</v>
      </c>
      <c r="C14" s="84"/>
      <c r="D14" s="84"/>
      <c r="E14" s="84"/>
      <c r="F14" s="84">
        <f>'表3 工程建设其他费用计算表'!D27</f>
        <v>1.5603246</v>
      </c>
      <c r="G14" s="84">
        <f t="shared" si="0"/>
        <v>1.5603246</v>
      </c>
      <c r="H14" s="84"/>
      <c r="I14" s="84"/>
      <c r="J14" s="84"/>
      <c r="K14" s="92"/>
      <c r="N14" s="93"/>
    </row>
    <row r="15" ht="25" customHeight="1" spans="1:14">
      <c r="A15" s="26">
        <v>8</v>
      </c>
      <c r="B15" s="26" t="str">
        <f>'表3 工程建设其他费用计算表'!B28</f>
        <v>检验试验费</v>
      </c>
      <c r="C15" s="84"/>
      <c r="D15" s="84"/>
      <c r="E15" s="84"/>
      <c r="F15" s="84">
        <f>'表3 工程建设其他费用计算表'!D28</f>
        <v>4.133882</v>
      </c>
      <c r="G15" s="84">
        <f t="shared" si="0"/>
        <v>4.133882</v>
      </c>
      <c r="H15" s="84"/>
      <c r="I15" s="84"/>
      <c r="J15" s="84"/>
      <c r="K15" s="92"/>
      <c r="N15" s="93"/>
    </row>
    <row r="16" ht="25" customHeight="1" spans="1:14">
      <c r="A16" s="26">
        <v>9</v>
      </c>
      <c r="B16" s="85" t="s">
        <v>27</v>
      </c>
      <c r="C16" s="84"/>
      <c r="D16" s="84"/>
      <c r="E16" s="84"/>
      <c r="F16" s="84">
        <f>'表3 工程建设其他费用计算表'!D29</f>
        <v>0</v>
      </c>
      <c r="G16" s="84">
        <f t="shared" si="0"/>
        <v>0</v>
      </c>
      <c r="H16" s="84"/>
      <c r="I16" s="84"/>
      <c r="J16" s="84"/>
      <c r="K16" s="92"/>
      <c r="N16" s="93"/>
    </row>
    <row r="17" ht="25" customHeight="1" spans="1:14">
      <c r="A17" s="26">
        <v>10</v>
      </c>
      <c r="B17" s="85" t="s">
        <v>28</v>
      </c>
      <c r="C17" s="84"/>
      <c r="D17" s="84"/>
      <c r="E17" s="84"/>
      <c r="F17" s="84">
        <f>'表3 工程建设其他费用计算表'!D30</f>
        <v>0</v>
      </c>
      <c r="G17" s="84">
        <f t="shared" si="0"/>
        <v>0</v>
      </c>
      <c r="H17" s="84"/>
      <c r="I17" s="84"/>
      <c r="J17" s="84"/>
      <c r="K17" s="92"/>
      <c r="N17" s="93"/>
    </row>
    <row r="18" s="73" customFormat="1" ht="25" customHeight="1" spans="1:13">
      <c r="A18" s="37" t="s">
        <v>29</v>
      </c>
      <c r="B18" s="37" t="s">
        <v>30</v>
      </c>
      <c r="C18" s="83"/>
      <c r="D18" s="83"/>
      <c r="E18" s="83"/>
      <c r="F18" s="83"/>
      <c r="G18" s="83">
        <f>G19</f>
        <v>30.062625066</v>
      </c>
      <c r="H18" s="83" t="s">
        <v>17</v>
      </c>
      <c r="I18" s="91">
        <v>826</v>
      </c>
      <c r="J18" s="84">
        <f>G18*10000/I18</f>
        <v>363.954298619855</v>
      </c>
      <c r="K18" s="92">
        <f>G18/G24</f>
        <v>0.0476198019143262</v>
      </c>
      <c r="M18" s="94"/>
    </row>
    <row r="19" ht="25" customHeight="1" spans="1:13">
      <c r="A19" s="26">
        <v>1</v>
      </c>
      <c r="B19" s="26" t="s">
        <v>31</v>
      </c>
      <c r="C19" s="84"/>
      <c r="D19" s="84"/>
      <c r="E19" s="84"/>
      <c r="F19" s="84">
        <f>(G6+G7)*0.05</f>
        <v>30.062625066</v>
      </c>
      <c r="G19" s="84">
        <f>F19</f>
        <v>30.062625066</v>
      </c>
      <c r="H19" s="84"/>
      <c r="I19" s="84"/>
      <c r="J19" s="84"/>
      <c r="K19" s="92"/>
      <c r="M19" s="93"/>
    </row>
    <row r="20" customFormat="1" ht="25" customHeight="1" spans="1:13">
      <c r="A20" s="26">
        <v>2</v>
      </c>
      <c r="B20" s="26" t="s">
        <v>32</v>
      </c>
      <c r="C20" s="84"/>
      <c r="D20" s="84"/>
      <c r="E20" s="84"/>
      <c r="F20" s="84"/>
      <c r="G20" s="84">
        <v>0</v>
      </c>
      <c r="H20" s="84"/>
      <c r="I20" s="84"/>
      <c r="J20" s="84"/>
      <c r="K20" s="92"/>
      <c r="M20" s="93"/>
    </row>
    <row r="21" customFormat="1" ht="25" customHeight="1" spans="1:13">
      <c r="A21" s="37" t="s">
        <v>33</v>
      </c>
      <c r="B21" s="37" t="s">
        <v>34</v>
      </c>
      <c r="C21" s="83"/>
      <c r="D21" s="83"/>
      <c r="E21" s="83"/>
      <c r="F21" s="83"/>
      <c r="G21" s="83">
        <v>0</v>
      </c>
      <c r="H21" s="83"/>
      <c r="I21" s="84"/>
      <c r="J21" s="84"/>
      <c r="K21" s="92" t="s">
        <v>35</v>
      </c>
      <c r="M21" s="93"/>
    </row>
    <row r="22" s="73" customFormat="1" ht="25" customHeight="1" spans="1:13">
      <c r="A22" s="37" t="s">
        <v>36</v>
      </c>
      <c r="B22" s="37" t="s">
        <v>37</v>
      </c>
      <c r="C22" s="83"/>
      <c r="D22" s="83"/>
      <c r="E22" s="83"/>
      <c r="F22" s="83"/>
      <c r="G22" s="83">
        <v>0</v>
      </c>
      <c r="H22" s="83"/>
      <c r="I22" s="84"/>
      <c r="J22" s="84"/>
      <c r="K22" s="92" t="s">
        <v>35</v>
      </c>
      <c r="M22" s="94"/>
    </row>
    <row r="23" s="73" customFormat="1" ht="25" customHeight="1" spans="1:13">
      <c r="A23" s="37" t="s">
        <v>38</v>
      </c>
      <c r="B23" s="37" t="s">
        <v>39</v>
      </c>
      <c r="C23" s="83"/>
      <c r="D23" s="83"/>
      <c r="E23" s="83"/>
      <c r="F23" s="83"/>
      <c r="G23" s="83">
        <v>0</v>
      </c>
      <c r="H23" s="83"/>
      <c r="I23" s="84"/>
      <c r="J23" s="84"/>
      <c r="K23" s="92" t="s">
        <v>35</v>
      </c>
      <c r="M23" s="94"/>
    </row>
    <row r="24" s="73" customFormat="1" ht="33.75" customHeight="1" spans="1:14">
      <c r="A24" s="37" t="s">
        <v>40</v>
      </c>
      <c r="B24" s="61" t="s">
        <v>41</v>
      </c>
      <c r="C24" s="83"/>
      <c r="D24" s="83"/>
      <c r="E24" s="83"/>
      <c r="F24" s="83"/>
      <c r="G24" s="83">
        <f>G28-0.01</f>
        <v>631.305126386</v>
      </c>
      <c r="H24" s="83" t="s">
        <v>17</v>
      </c>
      <c r="I24" s="91">
        <v>826</v>
      </c>
      <c r="J24" s="84">
        <f>G24*10000/I24</f>
        <v>7642.91920564165</v>
      </c>
      <c r="K24" s="92"/>
      <c r="M24" s="95">
        <f>G24-6716.49</f>
        <v>-6085.184873614</v>
      </c>
      <c r="N24" s="73">
        <f>M24/6716.49</f>
        <v>-0.906006690044056</v>
      </c>
    </row>
    <row r="25" spans="1:11">
      <c r="A25" s="74"/>
      <c r="C25" s="74"/>
      <c r="D25" s="74"/>
      <c r="E25" s="74"/>
      <c r="F25" s="74"/>
      <c r="G25" s="74"/>
      <c r="H25" s="74"/>
      <c r="I25" s="74"/>
      <c r="J25" s="74"/>
      <c r="K25" s="74"/>
    </row>
    <row r="28" spans="7:7">
      <c r="G28" s="76">
        <f>G6+G7+G18</f>
        <v>631.315126386</v>
      </c>
    </row>
    <row r="29" spans="9:9">
      <c r="I29" s="96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393055555555556" right="0.393055555555556" top="0.393055555555556" bottom="0.393055555555556" header="0.314583333333333" footer="0.314583333333333"/>
  <pageSetup paperSize="9" scale="84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view="pageBreakPreview" zoomScaleNormal="100" workbookViewId="0">
      <pane ySplit="5" topLeftCell="A6" activePane="bottomLeft" state="frozen"/>
      <selection/>
      <selection pane="bottomLeft" activeCell="C8" sqref="C8"/>
    </sheetView>
  </sheetViews>
  <sheetFormatPr defaultColWidth="9" defaultRowHeight="15"/>
  <cols>
    <col min="1" max="1" width="7.625" style="54" customWidth="1"/>
    <col min="2" max="2" width="27.875" style="55" customWidth="1"/>
    <col min="3" max="3" width="12.875" style="56" customWidth="1"/>
    <col min="4" max="4" width="12.875" style="57" customWidth="1"/>
    <col min="5" max="5" width="12.875" style="56" customWidth="1"/>
    <col min="6" max="6" width="13.375" style="56" customWidth="1"/>
    <col min="7" max="7" width="7.75" customWidth="1"/>
    <col min="8" max="8" width="15.625" style="56" customWidth="1"/>
    <col min="9" max="9" width="16.5" style="57" customWidth="1"/>
    <col min="10" max="10" width="25.25" style="55" customWidth="1"/>
    <col min="12" max="12" width="12.875" customWidth="1"/>
    <col min="13" max="13" width="12.625"/>
  </cols>
  <sheetData>
    <row r="1" s="9" customFormat="1" ht="32.25" customHeight="1" spans="1:255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工程名称：2025年城中区老旧小区配套基础设施改造工程(二期)</v>
      </c>
      <c r="B2" s="16"/>
      <c r="C2" s="60"/>
      <c r="D2" s="16"/>
      <c r="E2" s="60"/>
      <c r="F2" s="60"/>
      <c r="G2" s="16"/>
      <c r="H2" s="60"/>
      <c r="I2" s="16"/>
      <c r="J2" s="71"/>
    </row>
    <row r="3" s="9" customFormat="1" ht="24" customHeight="1" spans="1:10">
      <c r="A3" s="37" t="s">
        <v>2</v>
      </c>
      <c r="B3" s="61" t="s">
        <v>3</v>
      </c>
      <c r="C3" s="62" t="s">
        <v>4</v>
      </c>
      <c r="D3" s="62"/>
      <c r="E3" s="62"/>
      <c r="F3" s="62"/>
      <c r="G3" s="62" t="s">
        <v>5</v>
      </c>
      <c r="H3" s="63"/>
      <c r="I3" s="63"/>
      <c r="J3" s="64" t="s">
        <v>43</v>
      </c>
    </row>
    <row r="4" s="9" customFormat="1" ht="18" customHeight="1" spans="1:10">
      <c r="A4" s="37"/>
      <c r="B4" s="61"/>
      <c r="C4" s="64" t="s">
        <v>44</v>
      </c>
      <c r="D4" s="62" t="s">
        <v>45</v>
      </c>
      <c r="E4" s="62" t="s">
        <v>46</v>
      </c>
      <c r="F4" s="62" t="s">
        <v>11</v>
      </c>
      <c r="G4" s="65" t="s">
        <v>12</v>
      </c>
      <c r="H4" s="62" t="s">
        <v>13</v>
      </c>
      <c r="I4" s="64" t="s">
        <v>47</v>
      </c>
      <c r="J4" s="72"/>
    </row>
    <row r="5" s="9" customFormat="1" ht="24" customHeight="1" spans="1:10">
      <c r="A5" s="37"/>
      <c r="B5" s="61"/>
      <c r="C5" s="64"/>
      <c r="D5" s="62"/>
      <c r="E5" s="62"/>
      <c r="F5" s="62"/>
      <c r="G5" s="65"/>
      <c r="H5" s="62"/>
      <c r="I5" s="64"/>
      <c r="J5" s="72"/>
    </row>
    <row r="6" s="12" customFormat="1" ht="29.25" customHeight="1" spans="1:10">
      <c r="A6" s="37" t="s">
        <v>15</v>
      </c>
      <c r="B6" s="61" t="s">
        <v>16</v>
      </c>
      <c r="C6" s="62">
        <f>SUM(C7:C13)</f>
        <v>413.3882</v>
      </c>
      <c r="D6" s="62"/>
      <c r="E6" s="62">
        <f>SUM(E7:E13)</f>
        <v>106.72</v>
      </c>
      <c r="F6" s="62">
        <f>SUM(F7:F13)</f>
        <v>520.1082</v>
      </c>
      <c r="G6" s="66" t="s">
        <v>48</v>
      </c>
      <c r="H6" s="67">
        <f>H7+H8+H9+H10+H11+H12+H13</f>
        <v>826</v>
      </c>
      <c r="I6" s="66">
        <f>F6*10000/H6</f>
        <v>6296.70944309927</v>
      </c>
      <c r="J6" s="61"/>
    </row>
    <row r="7" s="12" customFormat="1" ht="29.25" customHeight="1" spans="1:10">
      <c r="A7" s="37">
        <v>1</v>
      </c>
      <c r="B7" s="61" t="s">
        <v>49</v>
      </c>
      <c r="C7" s="62">
        <f>F7-E7</f>
        <v>1.8929</v>
      </c>
      <c r="D7" s="62"/>
      <c r="E7" s="62">
        <v>16.75</v>
      </c>
      <c r="F7" s="68">
        <v>18.6429</v>
      </c>
      <c r="G7" s="66" t="s">
        <v>48</v>
      </c>
      <c r="H7" s="67">
        <v>286</v>
      </c>
      <c r="I7" s="66">
        <f t="shared" ref="I7:I13" si="0">F7*10000/H7</f>
        <v>651.84965034965</v>
      </c>
      <c r="J7" s="61"/>
    </row>
    <row r="8" s="12" customFormat="1" ht="29.25" customHeight="1" spans="1:10">
      <c r="A8" s="37">
        <v>2</v>
      </c>
      <c r="B8" s="61" t="s">
        <v>50</v>
      </c>
      <c r="C8" s="62">
        <f t="shared" ref="C8:C13" si="1">F8-E8</f>
        <v>68.4557</v>
      </c>
      <c r="D8" s="62"/>
      <c r="E8" s="62">
        <v>12.66</v>
      </c>
      <c r="F8" s="68">
        <v>81.1157</v>
      </c>
      <c r="G8" s="66" t="s">
        <v>48</v>
      </c>
      <c r="H8" s="67">
        <v>114</v>
      </c>
      <c r="I8" s="66">
        <f t="shared" si="0"/>
        <v>7115.41228070175</v>
      </c>
      <c r="J8" s="61"/>
    </row>
    <row r="9" s="12" customFormat="1" ht="29.25" customHeight="1" spans="1:10">
      <c r="A9" s="37">
        <v>3</v>
      </c>
      <c r="B9" s="61" t="s">
        <v>51</v>
      </c>
      <c r="C9" s="62">
        <f t="shared" si="1"/>
        <v>0.266</v>
      </c>
      <c r="D9" s="62"/>
      <c r="E9" s="62">
        <v>7.07</v>
      </c>
      <c r="F9" s="68">
        <v>7.336</v>
      </c>
      <c r="G9" s="66" t="s">
        <v>48</v>
      </c>
      <c r="H9" s="67">
        <v>12</v>
      </c>
      <c r="I9" s="66">
        <f t="shared" si="0"/>
        <v>6113.33333333333</v>
      </c>
      <c r="J9" s="61"/>
    </row>
    <row r="10" s="12" customFormat="1" ht="29.25" customHeight="1" spans="1:10">
      <c r="A10" s="37">
        <v>4</v>
      </c>
      <c r="B10" s="61" t="s">
        <v>52</v>
      </c>
      <c r="C10" s="62">
        <f t="shared" si="1"/>
        <v>25.1172</v>
      </c>
      <c r="D10" s="62"/>
      <c r="E10" s="62">
        <v>4.63</v>
      </c>
      <c r="F10" s="68">
        <v>29.7472</v>
      </c>
      <c r="G10" s="66" t="s">
        <v>48</v>
      </c>
      <c r="H10" s="67">
        <v>46</v>
      </c>
      <c r="I10" s="66">
        <f t="shared" si="0"/>
        <v>6466.78260869565</v>
      </c>
      <c r="J10" s="61"/>
    </row>
    <row r="11" s="12" customFormat="1" ht="29.25" customHeight="1" spans="1:10">
      <c r="A11" s="37">
        <v>5</v>
      </c>
      <c r="B11" s="61" t="s">
        <v>53</v>
      </c>
      <c r="C11" s="62">
        <f t="shared" si="1"/>
        <v>269.1313</v>
      </c>
      <c r="D11" s="62"/>
      <c r="E11" s="62">
        <v>48.57</v>
      </c>
      <c r="F11" s="68">
        <v>317.7013</v>
      </c>
      <c r="G11" s="66" t="s">
        <v>48</v>
      </c>
      <c r="H11" s="67">
        <v>216</v>
      </c>
      <c r="I11" s="66">
        <f t="shared" si="0"/>
        <v>14708.3935185185</v>
      </c>
      <c r="J11" s="61"/>
    </row>
    <row r="12" s="12" customFormat="1" ht="29.25" customHeight="1" spans="1:10">
      <c r="A12" s="37">
        <v>6</v>
      </c>
      <c r="B12" s="61" t="s">
        <v>54</v>
      </c>
      <c r="C12" s="62">
        <f t="shared" si="1"/>
        <v>43.4132</v>
      </c>
      <c r="D12" s="62"/>
      <c r="E12" s="62">
        <v>9.77</v>
      </c>
      <c r="F12" s="68">
        <v>53.1832</v>
      </c>
      <c r="G12" s="66" t="s">
        <v>48</v>
      </c>
      <c r="H12" s="67">
        <v>90</v>
      </c>
      <c r="I12" s="66">
        <f t="shared" si="0"/>
        <v>5909.24444444444</v>
      </c>
      <c r="J12" s="61"/>
    </row>
    <row r="13" s="53" customFormat="1" ht="29.25" customHeight="1" spans="1:10">
      <c r="A13" s="46">
        <v>7</v>
      </c>
      <c r="B13" s="61" t="s">
        <v>55</v>
      </c>
      <c r="C13" s="62">
        <f t="shared" si="1"/>
        <v>5.1119</v>
      </c>
      <c r="D13" s="69"/>
      <c r="E13" s="68">
        <v>7.27</v>
      </c>
      <c r="F13" s="68">
        <v>12.3819</v>
      </c>
      <c r="G13" s="48" t="s">
        <v>48</v>
      </c>
      <c r="H13" s="70">
        <v>62</v>
      </c>
      <c r="I13" s="66">
        <f t="shared" si="0"/>
        <v>1997.08064516129</v>
      </c>
      <c r="J13" s="46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view="pageBreakPreview" zoomScale="80" zoomScaleNormal="100" topLeftCell="A21" workbookViewId="0">
      <selection activeCell="D28" sqref="D28"/>
    </sheetView>
  </sheetViews>
  <sheetFormatPr defaultColWidth="9" defaultRowHeight="1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</cols>
  <sheetData>
    <row r="1" ht="25.5" customHeight="1" spans="1:5">
      <c r="A1" s="11" t="s">
        <v>56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工程名称：2025年城中区老旧小区配套基础设施改造工程(二期)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57</v>
      </c>
      <c r="C3" s="19" t="s">
        <v>58</v>
      </c>
      <c r="D3" s="20" t="s">
        <v>59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34.065177432</v>
      </c>
      <c r="E5" s="24"/>
      <c r="G5" s="25">
        <f>D6+D7+D8+D12+D16</f>
        <v>34.065177432</v>
      </c>
    </row>
    <row r="6" s="3" customFormat="1" ht="27.95" customHeight="1" spans="1:7">
      <c r="A6" s="26">
        <v>1.1</v>
      </c>
      <c r="B6" s="27" t="s">
        <v>60</v>
      </c>
      <c r="C6" s="27" t="s">
        <v>61</v>
      </c>
      <c r="D6" s="28">
        <f>G6*2/100</f>
        <v>12.626</v>
      </c>
      <c r="E6" s="27" t="s">
        <v>62</v>
      </c>
      <c r="G6" s="3">
        <v>631.3</v>
      </c>
    </row>
    <row r="7" s="3" customFormat="1" ht="27.95" customHeight="1" spans="1:5">
      <c r="A7" s="26">
        <v>1.2</v>
      </c>
      <c r="B7" s="27" t="s">
        <v>63</v>
      </c>
      <c r="C7" s="29" t="s">
        <v>64</v>
      </c>
      <c r="D7" s="28">
        <f>'表2 单项工程概算汇总表'!F6*2/1000</f>
        <v>1.0402164</v>
      </c>
      <c r="E7" s="27" t="s">
        <v>65</v>
      </c>
    </row>
    <row r="8" s="3" customFormat="1" ht="27.95" customHeight="1" spans="1:7">
      <c r="A8" s="26">
        <v>1.3</v>
      </c>
      <c r="B8" s="27" t="s">
        <v>66</v>
      </c>
      <c r="C8" s="27" t="s">
        <v>67</v>
      </c>
      <c r="D8" s="28">
        <f>G8</f>
        <v>0</v>
      </c>
      <c r="E8" s="27" t="s">
        <v>68</v>
      </c>
      <c r="G8" s="30">
        <f>D9+D10+D11</f>
        <v>0</v>
      </c>
    </row>
    <row r="9" s="3" customFormat="1" ht="27.95" customHeight="1" spans="1:5">
      <c r="A9" s="31" t="s">
        <v>69</v>
      </c>
      <c r="B9" s="31" t="s">
        <v>70</v>
      </c>
      <c r="C9" s="31" t="s">
        <v>71</v>
      </c>
      <c r="D9" s="32">
        <v>0</v>
      </c>
      <c r="E9" s="27"/>
    </row>
    <row r="10" s="3" customFormat="1" ht="27.95" customHeight="1" spans="1:5">
      <c r="A10" s="31" t="s">
        <v>72</v>
      </c>
      <c r="B10" s="31" t="s">
        <v>73</v>
      </c>
      <c r="C10" s="31" t="s">
        <v>71</v>
      </c>
      <c r="D10" s="32">
        <v>0</v>
      </c>
      <c r="E10" s="27"/>
    </row>
    <row r="11" s="3" customFormat="1" ht="27.95" customHeight="1" spans="1:5">
      <c r="A11" s="31" t="s">
        <v>74</v>
      </c>
      <c r="B11" s="31" t="s">
        <v>75</v>
      </c>
      <c r="C11" s="31" t="s">
        <v>71</v>
      </c>
      <c r="D11" s="32">
        <v>0</v>
      </c>
      <c r="E11" s="33" t="s">
        <v>76</v>
      </c>
    </row>
    <row r="12" s="3" customFormat="1" ht="27.95" customHeight="1" spans="1:7">
      <c r="A12" s="26">
        <v>1.4</v>
      </c>
      <c r="B12" s="27" t="s">
        <v>77</v>
      </c>
      <c r="C12" s="27" t="s">
        <v>78</v>
      </c>
      <c r="D12" s="28">
        <f>G12</f>
        <v>6.7614066</v>
      </c>
      <c r="E12" s="27" t="s">
        <v>68</v>
      </c>
      <c r="F12" s="34"/>
      <c r="G12" s="30">
        <f>D13+D14+D15</f>
        <v>6.7614066</v>
      </c>
    </row>
    <row r="13" s="3" customFormat="1" ht="27.95" customHeight="1" spans="1:5">
      <c r="A13" s="35" t="s">
        <v>79</v>
      </c>
      <c r="B13" s="35" t="s">
        <v>80</v>
      </c>
      <c r="C13" s="35" t="s">
        <v>81</v>
      </c>
      <c r="D13" s="36">
        <f>'表2 单项工程概算汇总表'!F6*3.9/1000</f>
        <v>2.02842198</v>
      </c>
      <c r="E13" s="27" t="s">
        <v>68</v>
      </c>
    </row>
    <row r="14" s="3" customFormat="1" ht="27.95" customHeight="1" spans="1:5">
      <c r="A14" s="35" t="s">
        <v>82</v>
      </c>
      <c r="B14" s="35" t="s">
        <v>83</v>
      </c>
      <c r="C14" s="35" t="s">
        <v>84</v>
      </c>
      <c r="D14" s="36">
        <f>'表2 单项工程概算汇总表'!F6*5.2/1000</f>
        <v>2.70456264</v>
      </c>
      <c r="E14" s="27" t="s">
        <v>68</v>
      </c>
    </row>
    <row r="15" s="3" customFormat="1" ht="27.95" customHeight="1" spans="1:5">
      <c r="A15" s="35" t="s">
        <v>85</v>
      </c>
      <c r="B15" s="35" t="s">
        <v>86</v>
      </c>
      <c r="C15" s="35" t="s">
        <v>87</v>
      </c>
      <c r="D15" s="36">
        <f>'表2 单项工程概算汇总表'!F6*3.9/1000</f>
        <v>2.02842198</v>
      </c>
      <c r="E15" s="27" t="s">
        <v>68</v>
      </c>
    </row>
    <row r="16" s="3" customFormat="1" ht="27.95" customHeight="1" spans="1:5">
      <c r="A16" s="26">
        <v>1.5</v>
      </c>
      <c r="B16" s="27" t="s">
        <v>88</v>
      </c>
      <c r="C16" s="27" t="s">
        <v>89</v>
      </c>
      <c r="D16" s="28">
        <f>13.2+(24.08-13.2)/(1000-500)*('表2 单项工程概算汇总表'!F6-500)</f>
        <v>13.637554432</v>
      </c>
      <c r="E16" s="27" t="s">
        <v>68</v>
      </c>
    </row>
    <row r="17" s="3" customFormat="1" ht="27.95" customHeight="1" spans="1:5">
      <c r="A17" s="37">
        <v>2</v>
      </c>
      <c r="B17" s="38" t="s">
        <v>21</v>
      </c>
      <c r="C17" s="27" t="s">
        <v>71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90</v>
      </c>
      <c r="D18" s="41">
        <f>SUM(D19:D21)</f>
        <v>7.8504</v>
      </c>
      <c r="E18" s="27" t="s">
        <v>68</v>
      </c>
      <c r="G18" s="42">
        <f>SUM(D19:D21)</f>
        <v>7.8504</v>
      </c>
    </row>
    <row r="19" s="4" customFormat="1" ht="30" customHeight="1" spans="1:5">
      <c r="A19" s="26">
        <v>3.1</v>
      </c>
      <c r="B19" s="29" t="s">
        <v>91</v>
      </c>
      <c r="C19" s="27" t="s">
        <v>92</v>
      </c>
      <c r="D19" s="43">
        <f>(4.4+(6.8-4.4)/(1000-500)*(631.3-500))</f>
        <v>5.03024</v>
      </c>
      <c r="E19" s="29" t="s">
        <v>93</v>
      </c>
    </row>
    <row r="20" s="3" customFormat="1" ht="27.95" customHeight="1" spans="1:5">
      <c r="A20" s="26">
        <v>3.2</v>
      </c>
      <c r="B20" s="29" t="s">
        <v>94</v>
      </c>
      <c r="C20" s="27" t="s">
        <v>95</v>
      </c>
      <c r="D20" s="43">
        <f>1.2+(2-1.2)*(631.3-500)/500</f>
        <v>1.41008</v>
      </c>
      <c r="E20" s="27" t="s">
        <v>68</v>
      </c>
    </row>
    <row r="21" s="3" customFormat="1" ht="27.95" customHeight="1" spans="1:5">
      <c r="A21" s="26">
        <v>3.3</v>
      </c>
      <c r="B21" s="29" t="s">
        <v>96</v>
      </c>
      <c r="C21" s="27" t="str">
        <f>C20</f>
        <v>1.2+(2-1.2)*(总投资-500)/500</v>
      </c>
      <c r="D21" s="43">
        <f>1.2+(2-1.2)*(G6-500)/500</f>
        <v>1.41008</v>
      </c>
      <c r="E21" s="27" t="s">
        <v>68</v>
      </c>
    </row>
    <row r="22" s="4" customFormat="1" ht="27.95" customHeight="1" spans="1:7">
      <c r="A22" s="37">
        <v>4</v>
      </c>
      <c r="B22" s="38" t="s">
        <v>23</v>
      </c>
      <c r="C22" s="40" t="s">
        <v>97</v>
      </c>
      <c r="D22" s="41">
        <f>D23+D24</f>
        <v>28.333435288</v>
      </c>
      <c r="E22" s="44"/>
      <c r="G22" s="42">
        <f>D23+D24</f>
        <v>28.333435288</v>
      </c>
    </row>
    <row r="23" s="3" customFormat="1" ht="27.95" customHeight="1" spans="1:5">
      <c r="A23" s="26">
        <v>4.1</v>
      </c>
      <c r="B23" s="33" t="s">
        <v>98</v>
      </c>
      <c r="C23" s="27" t="s">
        <v>99</v>
      </c>
      <c r="D23" s="43">
        <f>0.7*7</f>
        <v>4.9</v>
      </c>
      <c r="E23" s="29" t="s">
        <v>100</v>
      </c>
    </row>
    <row r="24" s="3" customFormat="1" ht="27.95" customHeight="1" spans="1:5">
      <c r="A24" s="26">
        <v>4.2</v>
      </c>
      <c r="B24" s="27" t="s">
        <v>101</v>
      </c>
      <c r="C24" s="27" t="s">
        <v>102</v>
      </c>
      <c r="D24" s="36">
        <f>(8.1+(18.81-8.1)*('表2 单项工程概算汇总表'!F6-200)/300)*1.2</f>
        <v>23.433435288</v>
      </c>
      <c r="E24" s="44" t="s">
        <v>68</v>
      </c>
    </row>
    <row r="25" s="5" customFormat="1" ht="27.95" customHeight="1" spans="1:8">
      <c r="A25" s="37">
        <v>5</v>
      </c>
      <c r="B25" s="38" t="s">
        <v>24</v>
      </c>
      <c r="C25" s="35" t="s">
        <v>71</v>
      </c>
      <c r="D25" s="41">
        <v>0</v>
      </c>
      <c r="E25" s="44" t="s">
        <v>68</v>
      </c>
      <c r="H25" s="5" t="s">
        <v>103</v>
      </c>
    </row>
    <row r="26" s="6" customFormat="1" ht="27.95" customHeight="1" spans="1:5">
      <c r="A26" s="37">
        <v>6</v>
      </c>
      <c r="B26" s="38" t="s">
        <v>25</v>
      </c>
      <c r="C26" s="40" t="s">
        <v>104</v>
      </c>
      <c r="D26" s="41">
        <f>'表2 单项工程概算汇总表'!F6*1/100</f>
        <v>5.201082</v>
      </c>
      <c r="E26" s="45" t="s">
        <v>105</v>
      </c>
    </row>
    <row r="27" s="7" customFormat="1" ht="27.95" customHeight="1" spans="1:5">
      <c r="A27" s="37">
        <v>7</v>
      </c>
      <c r="B27" s="40" t="s">
        <v>26</v>
      </c>
      <c r="C27" s="40" t="s">
        <v>106</v>
      </c>
      <c r="D27" s="41">
        <f>'表2 单项工程概算汇总表'!F6*0.3/100</f>
        <v>1.5603246</v>
      </c>
      <c r="E27" s="45" t="s">
        <v>107</v>
      </c>
    </row>
    <row r="28" s="7" customFormat="1" ht="27.95" customHeight="1" spans="1:5">
      <c r="A28" s="46">
        <v>8</v>
      </c>
      <c r="B28" s="47" t="s">
        <v>108</v>
      </c>
      <c r="C28" s="38" t="s">
        <v>109</v>
      </c>
      <c r="D28" s="39">
        <f>'表2 单项工程概算汇总表'!C6*1/100</f>
        <v>4.133882</v>
      </c>
      <c r="E28" s="27" t="s">
        <v>68</v>
      </c>
    </row>
    <row r="29" ht="27.95" customHeight="1" spans="1:5">
      <c r="A29" s="37">
        <v>9</v>
      </c>
      <c r="B29" s="38" t="s">
        <v>27</v>
      </c>
      <c r="C29" s="27" t="s">
        <v>71</v>
      </c>
      <c r="D29" s="41">
        <v>0</v>
      </c>
      <c r="E29" s="29" t="s">
        <v>110</v>
      </c>
    </row>
    <row r="30" ht="27.95" customHeight="1" spans="1:5">
      <c r="A30" s="37">
        <v>10</v>
      </c>
      <c r="B30" s="38" t="s">
        <v>28</v>
      </c>
      <c r="C30" s="40" t="s">
        <v>111</v>
      </c>
      <c r="D30" s="41">
        <f>D31+D32+D33</f>
        <v>0</v>
      </c>
      <c r="E30" s="29"/>
    </row>
    <row r="31" ht="27.95" customHeight="1" spans="1:5">
      <c r="A31" s="48">
        <v>10.1</v>
      </c>
      <c r="B31" s="49" t="s">
        <v>112</v>
      </c>
      <c r="C31" s="50" t="s">
        <v>71</v>
      </c>
      <c r="D31" s="28">
        <v>0</v>
      </c>
      <c r="E31" s="51" t="s">
        <v>113</v>
      </c>
    </row>
    <row r="32" ht="27.95" customHeight="1" spans="1:5">
      <c r="A32" s="48">
        <v>10.2</v>
      </c>
      <c r="B32" s="49" t="s">
        <v>114</v>
      </c>
      <c r="C32" s="50" t="s">
        <v>71</v>
      </c>
      <c r="D32" s="28">
        <v>0</v>
      </c>
      <c r="E32" s="51" t="s">
        <v>115</v>
      </c>
    </row>
    <row r="33" ht="27.95" customHeight="1" spans="1:5">
      <c r="A33" s="48">
        <v>10.3</v>
      </c>
      <c r="B33" s="49" t="s">
        <v>116</v>
      </c>
      <c r="C33" s="50" t="s">
        <v>71</v>
      </c>
      <c r="D33" s="28">
        <v>0</v>
      </c>
      <c r="E33" s="51" t="s">
        <v>117</v>
      </c>
    </row>
    <row r="34" ht="27.95" customHeight="1" spans="1:5">
      <c r="A34" s="40"/>
      <c r="B34" s="40" t="s">
        <v>11</v>
      </c>
      <c r="C34" s="40"/>
      <c r="D34" s="41">
        <f>D36</f>
        <v>81.14430132</v>
      </c>
      <c r="E34" s="52"/>
    </row>
    <row r="36" spans="4:4">
      <c r="D36" s="10">
        <f>D5+D17+D18+D22+D25+D26+D27+D28+D29+D30</f>
        <v>81.14430132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2011-03-01T01:09:00Z</dcterms:created>
  <cp:lastPrinted>2021-11-24T03:54:00Z</cp:lastPrinted>
  <dcterms:modified xsi:type="dcterms:W3CDTF">2025-11-21T11:48:30Z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